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XSERVER\Shared\2021 Conference\Speaker Templates &amp; Materials\Materials from Speakers\Hutts Materials-ACCEPTED\"/>
    </mc:Choice>
  </mc:AlternateContent>
  <xr:revisionPtr revIDLastSave="0" documentId="8_{6D1D5585-2D87-4802-9BE4-64039AD56C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cking Sheet" sheetId="4" r:id="rId1"/>
    <sheet name="RDV Tracking" sheetId="6" r:id="rId2"/>
    <sheet name="Summary Sheet" sheetId="3" r:id="rId3"/>
    <sheet name="Vasopressors" sheetId="5" r:id="rId4"/>
    <sheet name="MDI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" i="4" l="1"/>
  <c r="AP6" i="4"/>
  <c r="AP5" i="4"/>
  <c r="AP4" i="4"/>
  <c r="AP3" i="4"/>
  <c r="AQ3" i="4" l="1"/>
  <c r="AS3" i="4" s="1"/>
  <c r="AZ2" i="6"/>
  <c r="AP50" i="4" l="1"/>
  <c r="AQ50" i="4" s="1"/>
  <c r="AS50" i="4" s="1"/>
  <c r="AP17" i="4" l="1"/>
  <c r="AP16" i="4"/>
  <c r="AP15" i="4"/>
  <c r="AP47" i="4" l="1"/>
  <c r="AQ47" i="4" s="1"/>
  <c r="AS47" i="4" s="1"/>
  <c r="AP48" i="4"/>
  <c r="AQ48" i="4" s="1"/>
  <c r="AP49" i="4"/>
  <c r="AQ49" i="4" s="1"/>
  <c r="W5" i="2" l="1"/>
  <c r="T5" i="2" l="1"/>
  <c r="AP18" i="4" l="1"/>
  <c r="AP35" i="4"/>
  <c r="AP34" i="4"/>
  <c r="AP33" i="4"/>
  <c r="AP32" i="4"/>
  <c r="AP23" i="4"/>
  <c r="AP22" i="4"/>
  <c r="AP21" i="4"/>
  <c r="AP20" i="4"/>
  <c r="AP19" i="4"/>
  <c r="AP13" i="4"/>
  <c r="AP12" i="4"/>
  <c r="AQ32" i="4" l="1"/>
  <c r="AJ14" i="5"/>
  <c r="AK14" i="5" s="1"/>
  <c r="AE14" i="5"/>
  <c r="AJ13" i="5"/>
  <c r="AK13" i="5" s="1"/>
  <c r="AE13" i="5"/>
  <c r="AJ12" i="5"/>
  <c r="AK12" i="5" s="1"/>
  <c r="AE12" i="5"/>
  <c r="AJ11" i="5"/>
  <c r="AK11" i="5" s="1"/>
  <c r="AE11" i="5"/>
  <c r="AJ9" i="5"/>
  <c r="AK9" i="5" s="1"/>
  <c r="AE9" i="5"/>
  <c r="AJ8" i="5"/>
  <c r="AK8" i="5" s="1"/>
  <c r="AE8" i="5"/>
  <c r="AJ7" i="5"/>
  <c r="AK7" i="5" s="1"/>
  <c r="AE7" i="5"/>
  <c r="AJ6" i="5"/>
  <c r="AK6" i="5" s="1"/>
  <c r="AE6" i="5"/>
  <c r="AJ5" i="5"/>
  <c r="AK5" i="5" s="1"/>
  <c r="AE5" i="5"/>
  <c r="AJ4" i="5"/>
  <c r="AK4" i="5" s="1"/>
  <c r="AE4" i="5"/>
  <c r="AJ3" i="5"/>
  <c r="AK3" i="5" s="1"/>
  <c r="AE3" i="5"/>
  <c r="AF3" i="5" s="1"/>
  <c r="AH3" i="5" s="1"/>
  <c r="AF6" i="5" l="1"/>
  <c r="AH6" i="5" s="1"/>
  <c r="AF11" i="5"/>
  <c r="AH11" i="5" s="1"/>
  <c r="AF4" i="5"/>
  <c r="AH4" i="5" s="1"/>
  <c r="AF8" i="5"/>
  <c r="AH8" i="5" s="1"/>
  <c r="AF13" i="5"/>
  <c r="AH13" i="5" s="1"/>
  <c r="AV4" i="4"/>
  <c r="AU5" i="4"/>
  <c r="AV5" i="4" s="1"/>
  <c r="AU6" i="4"/>
  <c r="AV6" i="4" s="1"/>
  <c r="AU7" i="4"/>
  <c r="AV7" i="4" s="1"/>
  <c r="AU8" i="4"/>
  <c r="AV8" i="4" s="1"/>
  <c r="AU9" i="4"/>
  <c r="AV9" i="4" s="1"/>
  <c r="AU10" i="4"/>
  <c r="AV10" i="4" s="1"/>
  <c r="AU11" i="4"/>
  <c r="AV11" i="4" s="1"/>
  <c r="AU12" i="4"/>
  <c r="AV12" i="4" s="1"/>
  <c r="AU13" i="4"/>
  <c r="AV13" i="4" s="1"/>
  <c r="AU15" i="4"/>
  <c r="AV15" i="4" s="1"/>
  <c r="AU16" i="4"/>
  <c r="AV16" i="4" s="1"/>
  <c r="AU17" i="4"/>
  <c r="AV17" i="4" s="1"/>
  <c r="AU18" i="4"/>
  <c r="AV18" i="4" s="1"/>
  <c r="AU19" i="4"/>
  <c r="AV19" i="4" s="1"/>
  <c r="AU20" i="4"/>
  <c r="AV20" i="4" s="1"/>
  <c r="AU21" i="4"/>
  <c r="AV21" i="4" s="1"/>
  <c r="AU22" i="4"/>
  <c r="AV22" i="4" s="1"/>
  <c r="AU24" i="4"/>
  <c r="AV24" i="4" s="1"/>
  <c r="AU25" i="4"/>
  <c r="AV25" i="4" s="1"/>
  <c r="AU26" i="4"/>
  <c r="AV26" i="4" s="1"/>
  <c r="AU27" i="4"/>
  <c r="AV27" i="4" s="1"/>
  <c r="AU28" i="4"/>
  <c r="AV28" i="4" s="1"/>
  <c r="AU29" i="4"/>
  <c r="AV29" i="4" s="1"/>
  <c r="AU30" i="4"/>
  <c r="AV30" i="4" s="1"/>
  <c r="AU34" i="4"/>
  <c r="AV34" i="4" s="1"/>
  <c r="AU35" i="4"/>
  <c r="AV35" i="4" s="1"/>
  <c r="AU32" i="4"/>
  <c r="AV32" i="4" s="1"/>
  <c r="AU33" i="4"/>
  <c r="AV33" i="4" s="1"/>
  <c r="AU36" i="4"/>
  <c r="AV36" i="4" s="1"/>
  <c r="AU37" i="4"/>
  <c r="AV37" i="4" s="1"/>
  <c r="AU38" i="4"/>
  <c r="AV38" i="4" s="1"/>
  <c r="AU40" i="4"/>
  <c r="AV40" i="4" s="1"/>
  <c r="AU41" i="4"/>
  <c r="AV41" i="4" s="1"/>
  <c r="AU42" i="4"/>
  <c r="AV42" i="4" s="1"/>
  <c r="AU43" i="4"/>
  <c r="AV43" i="4" s="1"/>
  <c r="AU44" i="4"/>
  <c r="AV44" i="4" s="1"/>
  <c r="AU45" i="4"/>
  <c r="AV45" i="4" s="1"/>
  <c r="AU46" i="4"/>
  <c r="AV46" i="4" s="1"/>
  <c r="AU3" i="4"/>
  <c r="AV3" i="4" s="1"/>
  <c r="AP46" i="4"/>
  <c r="AP45" i="4"/>
  <c r="AP44" i="4"/>
  <c r="AP43" i="4"/>
  <c r="AP42" i="4"/>
  <c r="AP41" i="4"/>
  <c r="AQ41" i="4" s="1"/>
  <c r="AS41" i="4" s="1"/>
  <c r="AP40" i="4"/>
  <c r="AP38" i="4"/>
  <c r="AP37" i="4"/>
  <c r="AP36" i="4"/>
  <c r="AP30" i="4"/>
  <c r="AP29" i="4"/>
  <c r="AP28" i="4"/>
  <c r="AP27" i="4"/>
  <c r="AP26" i="4"/>
  <c r="AP25" i="4"/>
  <c r="AP24" i="4"/>
  <c r="AP11" i="4"/>
  <c r="AP10" i="4"/>
  <c r="AP9" i="4"/>
  <c r="AP8" i="4"/>
  <c r="AP7" i="4"/>
  <c r="AQ19" i="4" l="1"/>
  <c r="AS19" i="4" s="1"/>
  <c r="AQ46" i="4"/>
  <c r="AS46" i="4" s="1"/>
  <c r="AQ45" i="4"/>
  <c r="AS45" i="4" s="1"/>
  <c r="AQ44" i="4"/>
  <c r="AS44" i="4" s="1"/>
  <c r="AQ42" i="4"/>
  <c r="AS42" i="4" s="1"/>
  <c r="AQ7" i="4" l="1"/>
  <c r="AQ12" i="4"/>
  <c r="AQ36" i="4" l="1"/>
  <c r="AS36" i="4" s="1"/>
  <c r="AQ29" i="4"/>
  <c r="AS29" i="4" s="1"/>
  <c r="AQ27" i="4"/>
  <c r="AS27" i="4" s="1"/>
  <c r="AQ11" i="4"/>
  <c r="AS11" i="4" s="1"/>
  <c r="AQ24" i="4"/>
  <c r="AS24" i="4" s="1"/>
  <c r="AQ43" i="4" l="1"/>
  <c r="AS43" i="4" s="1"/>
  <c r="AQ40" i="4"/>
  <c r="AS40" i="4" s="1"/>
  <c r="AS32" i="4" l="1"/>
  <c r="AQ34" i="4"/>
  <c r="AS34" i="4" s="1"/>
  <c r="AQ25" i="4"/>
  <c r="AS25" i="4" s="1"/>
  <c r="AS7" i="4"/>
  <c r="AQ15" i="4"/>
  <c r="AS15" i="4" s="1"/>
  <c r="AS12" i="4" l="1"/>
  <c r="K5" i="2" l="1"/>
  <c r="L5" i="2"/>
  <c r="M5" i="2"/>
  <c r="N5" i="2"/>
  <c r="O5" i="2"/>
  <c r="P5" i="2"/>
  <c r="Q5" i="2"/>
  <c r="R5" i="2"/>
  <c r="S5" i="2"/>
  <c r="U5" i="2"/>
  <c r="V5" i="2"/>
  <c r="B7" i="2" l="1"/>
  <c r="B9" i="2" s="1"/>
  <c r="G3" i="2" l="1"/>
  <c r="F3" i="2" l="1"/>
  <c r="F4" i="2"/>
  <c r="F5" i="2"/>
  <c r="G5" i="2"/>
  <c r="H5" i="2"/>
  <c r="I5" i="2"/>
  <c r="J5" i="2"/>
  <c r="E3" i="2" l="1"/>
  <c r="E2" i="2"/>
  <c r="C5" i="2" l="1"/>
  <c r="D5" i="2"/>
  <c r="E5" i="2"/>
  <c r="B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Cook, Jeffrey</author>
  </authors>
  <commentList>
    <comment ref="B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Cook, Jeffrey:</t>
        </r>
        <r>
          <rPr>
            <sz val="9"/>
            <color indexed="81"/>
            <rFont val="Tahoma"/>
            <family val="2"/>
          </rPr>
          <t xml:space="preserve">
Historically low usage, wholesaler stock initially low, no manufacturer issues reported.  Working on direct purchasing from manufacturer.</t>
        </r>
      </text>
    </comment>
    <comment ref="B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Cook, Jeffrey:</t>
        </r>
        <r>
          <rPr>
            <sz val="9"/>
            <color indexed="81"/>
            <rFont val="Tahoma"/>
            <family val="2"/>
          </rPr>
          <t xml:space="preserve">
11,600 mg on-hand</t>
        </r>
      </text>
    </comment>
  </commentList>
</comments>
</file>

<file path=xl/sharedStrings.xml><?xml version="1.0" encoding="utf-8"?>
<sst xmlns="http://schemas.openxmlformats.org/spreadsheetml/2006/main" count="155" uniqueCount="132">
  <si>
    <t>Medication</t>
  </si>
  <si>
    <t>Use to insert               new daily column</t>
  </si>
  <si>
    <t>Patient Days</t>
  </si>
  <si>
    <t>Number of Active Orders</t>
  </si>
  <si>
    <t>Days remaining supply</t>
  </si>
  <si>
    <t>Comments</t>
  </si>
  <si>
    <t>Last 3 day average</t>
  </si>
  <si>
    <t>Trending</t>
  </si>
  <si>
    <t>SEDATIVES/ANALGESICS</t>
  </si>
  <si>
    <t>Fentanyl 2,000 mcg/100 mL Drip</t>
  </si>
  <si>
    <t>Hikma 5 &amp; 50 mL in good supply</t>
  </si>
  <si>
    <t xml:space="preserve">          -Fentanyl 1000mcg/20mL vials</t>
  </si>
  <si>
    <t xml:space="preserve">                    (A1) Fentanyl 250mcg/5mL vials</t>
  </si>
  <si>
    <t xml:space="preserve">                    (A2) Fentanyl 2500mcg/50mL vials</t>
  </si>
  <si>
    <t>Hydromorphone 10mg/1mL vials</t>
  </si>
  <si>
    <t xml:space="preserve">                    (A1) Hydromorphone 50mg/5mL vials</t>
  </si>
  <si>
    <t xml:space="preserve">                    (A2) Hydromorphone 40mg/20mL vials </t>
  </si>
  <si>
    <t xml:space="preserve">                    (A3) Hydromorphone 500mg/50mL vials</t>
  </si>
  <si>
    <t>Morphine 10mg/1mL vials</t>
  </si>
  <si>
    <t>Propofol 1,000mg/100ml bottles</t>
  </si>
  <si>
    <t>More avail direct</t>
  </si>
  <si>
    <t xml:space="preserve">          -Propofol 500mg/50ml bottles</t>
  </si>
  <si>
    <t xml:space="preserve">          -Propofol 200mg/20ml bottles</t>
  </si>
  <si>
    <t>Using for line prime</t>
  </si>
  <si>
    <t>Dexmedetomidine 200mcg/2ml vials</t>
  </si>
  <si>
    <t>Wholesalers fully stocked</t>
  </si>
  <si>
    <t xml:space="preserve">          -Dexmedetomidine 400mcg/100mL bags/bottles</t>
  </si>
  <si>
    <t xml:space="preserve">          -Dexmedetomidine 400mcg/4ml vials</t>
  </si>
  <si>
    <t xml:space="preserve">                    (A1) Dexmedetomidine 200mcg/50mL bags/bottles</t>
  </si>
  <si>
    <t>Midazolam 50mg/10mL vials</t>
  </si>
  <si>
    <t xml:space="preserve">                    (A1) Midazolam 5mg/1mL vials</t>
  </si>
  <si>
    <t xml:space="preserve">                    (A2) Midazolam 5mg/5mL vials</t>
  </si>
  <si>
    <t xml:space="preserve">                    (A3) Midazolam 2mg/2mL vials</t>
  </si>
  <si>
    <t xml:space="preserve">                   (A4) Midazolam 50 mg/50 mL Bags</t>
  </si>
  <si>
    <t>Lorazepam 40mg/10mL vials</t>
  </si>
  <si>
    <t>Ketamine 500mg/10mL vials</t>
  </si>
  <si>
    <t>Par Pharm in good supply</t>
  </si>
  <si>
    <t xml:space="preserve">                    (A1) Ketamine 500mg/5mL vials</t>
  </si>
  <si>
    <t>Phenobarbital 130mg/mL</t>
  </si>
  <si>
    <t xml:space="preserve">                    (A1) Phenobarbital 65mg/mL</t>
  </si>
  <si>
    <t>Pentobarbital 1000mg/20ml</t>
  </si>
  <si>
    <t>Availalble Leucadia and Akorn direct.  Stocked at wholesalers too.</t>
  </si>
  <si>
    <t xml:space="preserve">          -Pentobarbital 2500mg/50ml</t>
  </si>
  <si>
    <t>NMBs</t>
  </si>
  <si>
    <t>Vecuronium 10 mg Vial</t>
  </si>
  <si>
    <t>Short dated:  40 x 10 mg 01/21, &amp; 30 x 20 mg 10/20; 390 vials sent back 5/20</t>
  </si>
  <si>
    <t xml:space="preserve">                    (A1) Vecuronium 20 mg Vial</t>
  </si>
  <si>
    <t>Cisatracurium 20mg/10ml vials</t>
  </si>
  <si>
    <t xml:space="preserve">          -Cisatracurium 200mg/20ml vials</t>
  </si>
  <si>
    <t>Rocuronium 50mg/5 mL Vials</t>
  </si>
  <si>
    <t xml:space="preserve">         -Rocuronium 50/5mL PFS</t>
  </si>
  <si>
    <t xml:space="preserve">                    (A1) Rocuronium 100mg/10 mL Vials</t>
  </si>
  <si>
    <t>COVID-19 TREATMENT</t>
  </si>
  <si>
    <t>Azithromycin 250 mg</t>
  </si>
  <si>
    <t>Wholesalers fully stocked x 18 g</t>
  </si>
  <si>
    <t xml:space="preserve">Albuterol (MDIs) </t>
  </si>
  <si>
    <t>Spiriva Handihaler</t>
  </si>
  <si>
    <t>Plaquenil 200 mg Tablets</t>
  </si>
  <si>
    <t>Actemra (In Miligrams)</t>
  </si>
  <si>
    <t>11,160 mg</t>
  </si>
  <si>
    <t>LOPINAVIR/RITONAVIR 200-50 Tab</t>
  </si>
  <si>
    <t>Hydrocortisone 100 mg Inj Vial</t>
  </si>
  <si>
    <t>Dexamethasone 4 mg/mL 1 mL Vials</t>
  </si>
  <si>
    <t>Dexamethasone 4 mg/mL 5 mL Vials</t>
  </si>
  <si>
    <t>Dexamethasone 10 mg/mL 1 mL Vials</t>
  </si>
  <si>
    <t>MDV and SDV</t>
  </si>
  <si>
    <t>Remdesivir 100 mg/20 mL</t>
  </si>
  <si>
    <t>Key</t>
  </si>
  <si>
    <t>Primary</t>
  </si>
  <si>
    <t xml:space="preserve">         -Supplemental</t>
  </si>
  <si>
    <t xml:space="preserve">                    (A1) Alternate #1</t>
  </si>
  <si>
    <t xml:space="preserve">                    (A2) Alternate #2</t>
  </si>
  <si>
    <t>Stock Count</t>
  </si>
  <si>
    <t>Number of Patients Treatable</t>
  </si>
  <si>
    <t>Date</t>
  </si>
  <si>
    <t>80 arriving</t>
  </si>
  <si>
    <t>60 arriving</t>
  </si>
  <si>
    <t xml:space="preserve">Pharmacy Supply Status </t>
  </si>
  <si>
    <t>Medication Group</t>
  </si>
  <si>
    <t>Days Supply</t>
  </si>
  <si>
    <t>Analgesics</t>
  </si>
  <si>
    <t>Fentanyl</t>
  </si>
  <si>
    <t>Hydromorphone*</t>
  </si>
  <si>
    <t>Morphine</t>
  </si>
  <si>
    <t>Sedatives</t>
  </si>
  <si>
    <t>Propofol*</t>
  </si>
  <si>
    <t>Dexmedetomidine*</t>
  </si>
  <si>
    <t>Midazolam*</t>
  </si>
  <si>
    <t>Lorazepam</t>
  </si>
  <si>
    <t>Ketamine</t>
  </si>
  <si>
    <t>Phenobarbital/Pentobarbital (wholesale&amp; &amp; direct stock available)</t>
  </si>
  <si>
    <t>Cisatracurium</t>
  </si>
  <si>
    <t>Vecuronium</t>
  </si>
  <si>
    <t>Rocuronium</t>
  </si>
  <si>
    <t>COVID-19 Treatment</t>
  </si>
  <si>
    <t>Azithromycin 250 mg tablet</t>
  </si>
  <si>
    <t>Albuterol MDI</t>
  </si>
  <si>
    <t>Plaquenil 200 mg tablet*</t>
  </si>
  <si>
    <t>Actemra (mg)</t>
  </si>
  <si>
    <t>Hydrocortisone 100 mg Inj.</t>
  </si>
  <si>
    <t>Dexamethasone Inj</t>
  </si>
  <si>
    <t>&lt; 1 week</t>
  </si>
  <si>
    <t>1-3 weeks</t>
  </si>
  <si>
    <t>&gt; 3 weeks</t>
  </si>
  <si>
    <t>* Indicates Manufacturer Shortage Items (not demand driven, but supply driven</t>
  </si>
  <si>
    <t>Vasopressors</t>
  </si>
  <si>
    <t>Norepinephrine 4mg/4mL vials</t>
  </si>
  <si>
    <t xml:space="preserve"> 43mg/day</t>
  </si>
  <si>
    <t>Vasopressin 20 units/1mL vials</t>
  </si>
  <si>
    <t>58 units/day</t>
  </si>
  <si>
    <t xml:space="preserve">          -Vasopressin 200 units/10mL vials</t>
  </si>
  <si>
    <t xml:space="preserve">Epinephrine 1mg/1mL ampules </t>
  </si>
  <si>
    <t>43mgday</t>
  </si>
  <si>
    <t xml:space="preserve">          -Epinephrine 30mg/30mL vials</t>
  </si>
  <si>
    <t>Phenylephrine 50mg/5mL vials</t>
  </si>
  <si>
    <t>430mg/day</t>
  </si>
  <si>
    <t xml:space="preserve">          -Phenylephrine 10mg/1mL vials</t>
  </si>
  <si>
    <t>Inotropes</t>
  </si>
  <si>
    <t>Dobutamine 500mg/250mL</t>
  </si>
  <si>
    <t>115mg/day</t>
  </si>
  <si>
    <t>Dobutamine 250mg/20mL</t>
  </si>
  <si>
    <t>Milrinone 20mg/100mL bag</t>
  </si>
  <si>
    <t>58mg/day</t>
  </si>
  <si>
    <t>Milrinone 20mg/20mL vials</t>
  </si>
  <si>
    <t>Etomidate 20mg/10mL</t>
  </si>
  <si>
    <t>KitCheck &amp; inventory</t>
  </si>
  <si>
    <t>Ventolin 8 g</t>
  </si>
  <si>
    <t>Ventolin 18 g</t>
  </si>
  <si>
    <t>Proair 8.5 g</t>
  </si>
  <si>
    <t>Total MDI</t>
  </si>
  <si>
    <t>Tociluz - Can In</t>
  </si>
  <si>
    <t>Tociluz - StockR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</si>
</sst>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;@"/>
  </numFmts>
  <fonts count="17" x14ac:knownFonts="1"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4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3" borderId="0" xfId="0" applyFill="1"/>
    <xf numFmtId="0" fontId="7" fillId="8" borderId="4" xfId="0" applyFont="1" applyFill="1" applyBorder="1"/>
    <xf numFmtId="0" fontId="8" fillId="9" borderId="4" xfId="0" applyFont="1" applyFill="1" applyBorder="1"/>
    <xf numFmtId="0" fontId="8" fillId="9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3" fontId="8" fillId="9" borderId="4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11" fillId="1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14" fontId="9" fillId="11" borderId="0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 wrapText="1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" fontId="0" fillId="7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6" fontId="0" fillId="3" borderId="1" xfId="0" applyNumberFormat="1" applyFill="1" applyBorder="1" applyProtection="1">
      <protection locked="0"/>
    </xf>
    <xf numFmtId="16" fontId="0" fillId="3" borderId="2" xfId="0" applyNumberFormat="1" applyFill="1" applyBorder="1" applyAlignment="1" applyProtection="1">
      <alignment horizontal="center"/>
      <protection locked="0"/>
    </xf>
    <xf numFmtId="16" fontId="0" fillId="3" borderId="1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16" fontId="0" fillId="4" borderId="2" xfId="0" applyNumberFormat="1" applyFill="1" applyBorder="1" applyAlignment="1" applyProtection="1">
      <alignment horizontal="center"/>
      <protection locked="0"/>
    </xf>
    <xf numFmtId="16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3" fontId="0" fillId="3" borderId="2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" fontId="0" fillId="0" borderId="1" xfId="0" applyNumberFormat="1" applyBorder="1" applyAlignment="1" applyProtection="1">
      <alignment horizontal="center"/>
      <protection locked="0"/>
    </xf>
    <xf numFmtId="16" fontId="0" fillId="0" borderId="0" xfId="0" applyNumberFormat="1" applyAlignment="1" applyProtection="1">
      <alignment horizontal="center"/>
      <protection locked="0"/>
    </xf>
    <xf numFmtId="16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6" fontId="0" fillId="8" borderId="1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 wrapText="1"/>
    </xf>
    <xf numFmtId="164" fontId="0" fillId="4" borderId="1" xfId="0" applyNumberFormat="1" applyFill="1" applyBorder="1" applyAlignment="1" applyProtection="1">
      <alignment horizontal="center"/>
    </xf>
    <xf numFmtId="1" fontId="0" fillId="5" borderId="1" xfId="0" applyNumberFormat="1" applyFill="1" applyBorder="1" applyAlignment="1" applyProtection="1">
      <alignment horizontal="center"/>
    </xf>
    <xf numFmtId="1" fontId="0" fillId="3" borderId="1" xfId="0" applyNumberFormat="1" applyFill="1" applyBorder="1" applyAlignment="1" applyProtection="1">
      <alignment horizontal="center"/>
    </xf>
    <xf numFmtId="1" fontId="0" fillId="7" borderId="1" xfId="0" applyNumberForma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1" fontId="0" fillId="6" borderId="1" xfId="0" applyNumberFormat="1" applyFill="1" applyBorder="1" applyAlignment="1" applyProtection="1">
      <alignment horizontal="center"/>
    </xf>
    <xf numFmtId="1" fontId="0" fillId="8" borderId="1" xfId="0" applyNumberFormat="1" applyFill="1" applyBorder="1" applyAlignment="1" applyProtection="1">
      <alignment horizontal="center"/>
    </xf>
    <xf numFmtId="16" fontId="0" fillId="6" borderId="1" xfId="0" applyNumberForma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4" fillId="3" borderId="4" xfId="0" applyFon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</xf>
    <xf numFmtId="1" fontId="0" fillId="4" borderId="4" xfId="0" applyNumberFormat="1" applyFill="1" applyBorder="1" applyAlignment="1" applyProtection="1">
      <alignment horizontal="center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8" borderId="4" xfId="0" applyNumberFormat="1" applyFill="1" applyBorder="1" applyAlignment="1" applyProtection="1">
      <alignment horizontal="center"/>
    </xf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/>
      <protection locked="0"/>
    </xf>
    <xf numFmtId="1" fontId="0" fillId="6" borderId="4" xfId="0" applyNumberFormat="1" applyFill="1" applyBorder="1" applyAlignment="1" applyProtection="1">
      <alignment horizontal="center"/>
    </xf>
    <xf numFmtId="1" fontId="0" fillId="6" borderId="4" xfId="0" applyNumberFormat="1" applyFill="1" applyBorder="1" applyAlignment="1" applyProtection="1">
      <alignment horizontal="center" vertical="center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center"/>
      <protection locked="0"/>
    </xf>
    <xf numFmtId="1" fontId="0" fillId="5" borderId="4" xfId="0" applyNumberFormat="1" applyFill="1" applyBorder="1" applyAlignment="1" applyProtection="1">
      <alignment horizontal="center"/>
    </xf>
    <xf numFmtId="1" fontId="0" fillId="8" borderId="4" xfId="0" applyNumberFormat="1" applyFill="1" applyBorder="1" applyAlignment="1" applyProtection="1">
      <alignment vertical="center"/>
    </xf>
    <xf numFmtId="1" fontId="0" fillId="8" borderId="4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 wrapText="1"/>
    </xf>
    <xf numFmtId="0" fontId="0" fillId="0" borderId="4" xfId="0" applyBorder="1" applyProtection="1">
      <protection locked="0"/>
    </xf>
    <xf numFmtId="165" fontId="0" fillId="0" borderId="4" xfId="0" applyNumberFormat="1" applyBorder="1" applyProtection="1"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1" fontId="0" fillId="8" borderId="4" xfId="0" applyNumberFormat="1" applyFill="1" applyBorder="1" applyAlignment="1" applyProtection="1">
      <alignment horizontal="center"/>
      <protection locked="0"/>
    </xf>
    <xf numFmtId="0" fontId="0" fillId="8" borderId="4" xfId="0" applyFill="1" applyBorder="1" applyProtection="1">
      <protection locked="0"/>
    </xf>
    <xf numFmtId="1" fontId="0" fillId="8" borderId="4" xfId="0" applyNumberFormat="1" applyFill="1" applyBorder="1" applyAlignment="1" applyProtection="1">
      <alignment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2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5" borderId="1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7" borderId="1" xfId="0" applyFill="1" applyBorder="1" applyAlignment="1" applyProtection="1">
      <alignment horizontal="center" wrapText="1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1" fontId="0" fillId="7" borderId="1" xfId="0" applyNumberFormat="1" applyFill="1" applyBorder="1" applyAlignment="1" applyProtection="1">
      <alignment horizontal="center" wrapText="1"/>
    </xf>
    <xf numFmtId="0" fontId="14" fillId="3" borderId="1" xfId="0" applyFont="1" applyFill="1" applyBorder="1" applyProtection="1"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6" borderId="1" xfId="0" applyFont="1" applyFill="1" applyBorder="1" applyAlignment="1" applyProtection="1">
      <alignment horizontal="center"/>
      <protection locked="0"/>
    </xf>
    <xf numFmtId="1" fontId="14" fillId="3" borderId="1" xfId="0" applyNumberFormat="1" applyFont="1" applyFill="1" applyBorder="1" applyAlignment="1" applyProtection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 wrapText="1"/>
      <protection locked="0"/>
    </xf>
    <xf numFmtId="1" fontId="14" fillId="6" borderId="1" xfId="0" applyNumberFormat="1" applyFont="1" applyFill="1" applyBorder="1" applyAlignment="1" applyProtection="1">
      <alignment horizontal="center"/>
    </xf>
    <xf numFmtId="0" fontId="14" fillId="0" borderId="0" xfId="0" applyFont="1"/>
    <xf numFmtId="0" fontId="14" fillId="7" borderId="1" xfId="0" applyFont="1" applyFill="1" applyBorder="1" applyProtection="1">
      <protection locked="0"/>
    </xf>
    <xf numFmtId="0" fontId="14" fillId="7" borderId="1" xfId="0" applyFont="1" applyFill="1" applyBorder="1" applyAlignment="1" applyProtection="1">
      <alignment horizontal="center"/>
      <protection locked="0"/>
    </xf>
    <xf numFmtId="0" fontId="14" fillId="7" borderId="2" xfId="0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1" fontId="14" fillId="7" borderId="1" xfId="0" applyNumberFormat="1" applyFont="1" applyFill="1" applyBorder="1" applyAlignment="1" applyProtection="1">
      <alignment horizontal="center"/>
    </xf>
    <xf numFmtId="1" fontId="14" fillId="7" borderId="1" xfId="0" applyNumberFormat="1" applyFont="1" applyFill="1" applyBorder="1" applyAlignment="1" applyProtection="1">
      <alignment horizontal="center"/>
      <protection locked="0"/>
    </xf>
    <xf numFmtId="1" fontId="14" fillId="7" borderId="1" xfId="0" applyNumberFormat="1" applyFont="1" applyFill="1" applyBorder="1" applyAlignment="1" applyProtection="1">
      <alignment horizontal="center" wrapText="1"/>
    </xf>
    <xf numFmtId="1" fontId="14" fillId="5" borderId="1" xfId="0" applyNumberFormat="1" applyFont="1" applyFill="1" applyBorder="1" applyAlignment="1" applyProtection="1">
      <alignment horizontal="center"/>
    </xf>
    <xf numFmtId="0" fontId="14" fillId="5" borderId="4" xfId="0" applyFont="1" applyFill="1" applyBorder="1" applyProtection="1">
      <protection locked="0"/>
    </xf>
    <xf numFmtId="1" fontId="14" fillId="3" borderId="3" xfId="0" applyNumberFormat="1" applyFont="1" applyFill="1" applyBorder="1" applyAlignment="1" applyProtection="1">
      <alignment horizontal="center"/>
      <protection locked="0"/>
    </xf>
    <xf numFmtId="1" fontId="14" fillId="3" borderId="3" xfId="0" applyNumberFormat="1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4" fillId="3" borderId="3" xfId="0" applyFont="1" applyFill="1" applyBorder="1" applyProtection="1">
      <protection locked="0"/>
    </xf>
    <xf numFmtId="0" fontId="14" fillId="3" borderId="3" xfId="0" applyFont="1" applyFill="1" applyBorder="1" applyAlignment="1" applyProtection="1">
      <alignment horizontal="center"/>
      <protection locked="0"/>
    </xf>
    <xf numFmtId="0" fontId="14" fillId="3" borderId="13" xfId="0" applyFont="1" applyFill="1" applyBorder="1" applyAlignment="1" applyProtection="1">
      <alignment horizontal="center"/>
      <protection locked="0"/>
    </xf>
    <xf numFmtId="0" fontId="14" fillId="6" borderId="3" xfId="0" applyFont="1" applyFill="1" applyBorder="1" applyAlignment="1" applyProtection="1">
      <alignment horizontal="center"/>
      <protection locked="0"/>
    </xf>
    <xf numFmtId="1" fontId="14" fillId="6" borderId="3" xfId="0" applyNumberFormat="1" applyFont="1" applyFill="1" applyBorder="1" applyAlignment="1" applyProtection="1">
      <alignment horizontal="center"/>
    </xf>
    <xf numFmtId="0" fontId="0" fillId="3" borderId="6" xfId="0" applyFill="1" applyBorder="1" applyProtection="1">
      <protection locked="0"/>
    </xf>
    <xf numFmtId="16" fontId="0" fillId="3" borderId="3" xfId="0" applyNumberFormat="1" applyFill="1" applyBorder="1" applyProtection="1">
      <protection locked="0"/>
    </xf>
    <xf numFmtId="16" fontId="0" fillId="3" borderId="13" xfId="0" applyNumberFormat="1" applyFill="1" applyBorder="1" applyAlignment="1" applyProtection="1">
      <alignment horizontal="center"/>
      <protection locked="0"/>
    </xf>
    <xf numFmtId="16" fontId="0" fillId="3" borderId="3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5" fillId="0" borderId="0" xfId="1" quotePrefix="1" applyBorder="1" applyAlignment="1"/>
    <xf numFmtId="0" fontId="16" fillId="0" borderId="0" xfId="0" quotePrefix="1" applyFont="1"/>
    <xf numFmtId="1" fontId="0" fillId="3" borderId="3" xfId="0" applyNumberFormat="1" applyFill="1" applyBorder="1" applyAlignment="1" applyProtection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6" fontId="0" fillId="0" borderId="4" xfId="0" applyNumberForma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wrapText="1"/>
      <protection locked="0"/>
    </xf>
    <xf numFmtId="1" fontId="0" fillId="3" borderId="5" xfId="0" applyNumberFormat="1" applyFill="1" applyBorder="1" applyAlignment="1" applyProtection="1">
      <alignment horizontal="center" vertical="center"/>
      <protection locked="0"/>
    </xf>
    <xf numFmtId="1" fontId="0" fillId="3" borderId="5" xfId="0" applyNumberFormat="1" applyFill="1" applyBorder="1" applyAlignment="1" applyProtection="1">
      <alignment horizontal="center" vertical="center"/>
    </xf>
    <xf numFmtId="1" fontId="0" fillId="7" borderId="3" xfId="0" applyNumberFormat="1" applyFill="1" applyBorder="1" applyAlignment="1" applyProtection="1">
      <alignment horizontal="center" vertical="center"/>
    </xf>
    <xf numFmtId="1" fontId="0" fillId="7" borderId="5" xfId="0" applyNumberFormat="1" applyFill="1" applyBorder="1" applyAlignment="1" applyProtection="1">
      <alignment horizontal="center" vertical="center"/>
    </xf>
    <xf numFmtId="1" fontId="0" fillId="7" borderId="6" xfId="0" applyNumberFormat="1" applyFill="1" applyBorder="1" applyAlignment="1" applyProtection="1">
      <alignment horizontal="center" vertical="center"/>
    </xf>
    <xf numFmtId="1" fontId="0" fillId="7" borderId="3" xfId="0" applyNumberFormat="1" applyFill="1" applyBorder="1" applyAlignment="1" applyProtection="1">
      <alignment horizontal="center" vertical="center"/>
      <protection locked="0"/>
    </xf>
    <xf numFmtId="1" fontId="0" fillId="7" borderId="5" xfId="0" applyNumberFormat="1" applyFill="1" applyBorder="1" applyAlignment="1" applyProtection="1">
      <alignment horizontal="center" vertical="center"/>
      <protection locked="0"/>
    </xf>
    <xf numFmtId="1" fontId="0" fillId="7" borderId="6" xfId="0" applyNumberFormat="1" applyFill="1" applyBorder="1" applyAlignment="1" applyProtection="1">
      <alignment horizontal="center" vertical="center"/>
      <protection locked="0"/>
    </xf>
    <xf numFmtId="1" fontId="0" fillId="5" borderId="3" xfId="0" applyNumberFormat="1" applyFill="1" applyBorder="1" applyAlignment="1" applyProtection="1">
      <alignment horizontal="center" vertical="center"/>
      <protection locked="0"/>
    </xf>
    <xf numFmtId="1" fontId="0" fillId="5" borderId="6" xfId="0" applyNumberFormat="1" applyFill="1" applyBorder="1" applyAlignment="1" applyProtection="1">
      <alignment horizontal="center" vertical="center"/>
      <protection locked="0"/>
    </xf>
    <xf numFmtId="1" fontId="0" fillId="5" borderId="3" xfId="0" applyNumberFormat="1" applyFill="1" applyBorder="1" applyAlignment="1" applyProtection="1">
      <alignment horizontal="center" vertical="center"/>
    </xf>
    <xf numFmtId="1" fontId="0" fillId="5" borderId="6" xfId="0" applyNumberFormat="1" applyFill="1" applyBorder="1" applyAlignment="1" applyProtection="1">
      <alignment horizontal="center" vertical="center"/>
    </xf>
    <xf numFmtId="1" fontId="0" fillId="3" borderId="3" xfId="0" applyNumberFormat="1" applyFill="1" applyBorder="1" applyAlignment="1" applyProtection="1">
      <alignment horizontal="center" vertical="center"/>
      <protection locked="0"/>
    </xf>
    <xf numFmtId="1" fontId="0" fillId="3" borderId="5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3" xfId="0" applyNumberFormat="1" applyFill="1" applyBorder="1" applyAlignment="1" applyProtection="1">
      <alignment horizontal="center" vertical="center"/>
    </xf>
    <xf numFmtId="1" fontId="0" fillId="3" borderId="5" xfId="0" applyNumberFormat="1" applyFill="1" applyBorder="1" applyAlignment="1" applyProtection="1">
      <alignment horizontal="center" vertical="center"/>
    </xf>
    <xf numFmtId="1" fontId="0" fillId="3" borderId="6" xfId="0" applyNumberFormat="1" applyFill="1" applyBorder="1" applyAlignment="1" applyProtection="1">
      <alignment horizontal="center" vertical="center"/>
    </xf>
    <xf numFmtId="1" fontId="0" fillId="5" borderId="5" xfId="0" applyNumberFormat="1" applyFill="1" applyBorder="1" applyAlignment="1" applyProtection="1">
      <alignment horizontal="center" vertical="center"/>
    </xf>
    <xf numFmtId="1" fontId="0" fillId="6" borderId="3" xfId="0" applyNumberFormat="1" applyFill="1" applyBorder="1" applyAlignment="1" applyProtection="1">
      <alignment horizontal="center" vertical="center"/>
    </xf>
    <xf numFmtId="1" fontId="0" fillId="6" borderId="6" xfId="0" applyNumberFormat="1" applyFill="1" applyBorder="1" applyAlignment="1" applyProtection="1">
      <alignment horizontal="center" vertical="center"/>
    </xf>
    <xf numFmtId="1" fontId="14" fillId="7" borderId="3" xfId="0" applyNumberFormat="1" applyFont="1" applyFill="1" applyBorder="1" applyAlignment="1" applyProtection="1">
      <alignment horizontal="center" vertical="center"/>
    </xf>
    <xf numFmtId="1" fontId="14" fillId="7" borderId="6" xfId="0" applyNumberFormat="1" applyFont="1" applyFill="1" applyBorder="1" applyAlignment="1" applyProtection="1">
      <alignment horizontal="center" vertical="center"/>
    </xf>
    <xf numFmtId="1" fontId="14" fillId="3" borderId="3" xfId="0" applyNumberFormat="1" applyFont="1" applyFill="1" applyBorder="1" applyAlignment="1" applyProtection="1">
      <alignment horizontal="center" vertical="center"/>
    </xf>
    <xf numFmtId="1" fontId="14" fillId="3" borderId="6" xfId="0" applyNumberFormat="1" applyFont="1" applyFill="1" applyBorder="1" applyAlignment="1" applyProtection="1">
      <alignment horizontal="center" vertical="center"/>
    </xf>
    <xf numFmtId="1" fontId="0" fillId="6" borderId="3" xfId="0" applyNumberForma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5" borderId="5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</xf>
    <xf numFmtId="1" fontId="0" fillId="7" borderId="3" xfId="0" applyNumberFormat="1" applyFill="1" applyBorder="1" applyAlignment="1" applyProtection="1">
      <alignment horizontal="center" vertical="center" wrapText="1"/>
    </xf>
    <xf numFmtId="1" fontId="0" fillId="7" borderId="5" xfId="0" applyNumberFormat="1" applyFill="1" applyBorder="1" applyAlignment="1" applyProtection="1">
      <alignment horizontal="center" vertical="center" wrapText="1"/>
    </xf>
    <xf numFmtId="1" fontId="0" fillId="7" borderId="6" xfId="0" applyNumberFormat="1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wrapText="1"/>
      <protection locked="0"/>
    </xf>
    <xf numFmtId="0" fontId="0" fillId="5" borderId="5" xfId="0" applyFill="1" applyBorder="1" applyAlignment="1" applyProtection="1">
      <alignment horizontal="center" wrapText="1"/>
      <protection locked="0"/>
    </xf>
    <xf numFmtId="0" fontId="0" fillId="5" borderId="6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164" fontId="0" fillId="7" borderId="3" xfId="0" applyNumberFormat="1" applyFill="1" applyBorder="1" applyAlignment="1" applyProtection="1">
      <alignment horizontal="center" wrapText="1"/>
      <protection locked="0"/>
    </xf>
    <xf numFmtId="164" fontId="0" fillId="7" borderId="5" xfId="0" applyNumberFormat="1" applyFill="1" applyBorder="1" applyAlignment="1" applyProtection="1">
      <alignment horizontal="center" wrapText="1"/>
      <protection locked="0"/>
    </xf>
    <xf numFmtId="164" fontId="0" fillId="7" borderId="6" xfId="0" applyNumberFormat="1" applyFill="1" applyBorder="1" applyAlignment="1" applyProtection="1">
      <alignment horizontal="center" wrapText="1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14" fillId="7" borderId="6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wrapText="1"/>
      <protection locked="0"/>
    </xf>
    <xf numFmtId="0" fontId="14" fillId="3" borderId="6" xfId="0" applyFont="1" applyFill="1" applyBorder="1" applyAlignment="1" applyProtection="1">
      <alignment horizontal="center" wrapText="1"/>
      <protection locked="0"/>
    </xf>
    <xf numFmtId="164" fontId="0" fillId="5" borderId="3" xfId="0" applyNumberFormat="1" applyFill="1" applyBorder="1" applyAlignment="1" applyProtection="1">
      <alignment horizontal="center" wrapText="1"/>
      <protection locked="0"/>
    </xf>
    <xf numFmtId="164" fontId="0" fillId="5" borderId="5" xfId="0" applyNumberFormat="1" applyFill="1" applyBorder="1" applyAlignment="1" applyProtection="1">
      <alignment horizontal="center" wrapText="1"/>
      <protection locked="0"/>
    </xf>
    <xf numFmtId="0" fontId="13" fillId="3" borderId="3" xfId="0" applyFont="1" applyFill="1" applyBorder="1" applyAlignment="1" applyProtection="1">
      <alignment horizontal="center" wrapText="1"/>
      <protection locked="0"/>
    </xf>
    <xf numFmtId="0" fontId="13" fillId="3" borderId="5" xfId="0" applyFont="1" applyFill="1" applyBorder="1" applyAlignment="1" applyProtection="1">
      <alignment horizontal="center" wrapText="1"/>
      <protection locked="0"/>
    </xf>
    <xf numFmtId="0" fontId="13" fillId="3" borderId="6" xfId="0" applyFont="1" applyFill="1" applyBorder="1" applyAlignment="1" applyProtection="1">
      <alignment horizontal="center" wrapText="1"/>
      <protection locked="0"/>
    </xf>
    <xf numFmtId="164" fontId="13" fillId="3" borderId="3" xfId="0" applyNumberFormat="1" applyFont="1" applyFill="1" applyBorder="1" applyAlignment="1" applyProtection="1">
      <alignment horizontal="center" wrapText="1"/>
      <protection locked="0"/>
    </xf>
    <xf numFmtId="164" fontId="13" fillId="3" borderId="5" xfId="0" applyNumberFormat="1" applyFont="1" applyFill="1" applyBorder="1" applyAlignment="1" applyProtection="1">
      <alignment horizontal="center" wrapText="1"/>
      <protection locked="0"/>
    </xf>
    <xf numFmtId="164" fontId="13" fillId="3" borderId="6" xfId="0" applyNumberFormat="1" applyFont="1" applyFill="1" applyBorder="1" applyAlignment="1" applyProtection="1">
      <alignment horizontal="center" wrapText="1"/>
      <protection locked="0"/>
    </xf>
    <xf numFmtId="1" fontId="14" fillId="7" borderId="3" xfId="0" applyNumberFormat="1" applyFont="1" applyFill="1" applyBorder="1" applyAlignment="1" applyProtection="1">
      <alignment horizontal="center" vertical="center"/>
      <protection locked="0"/>
    </xf>
    <xf numFmtId="1" fontId="14" fillId="7" borderId="6" xfId="0" applyNumberFormat="1" applyFont="1" applyFill="1" applyBorder="1" applyAlignment="1" applyProtection="1">
      <alignment horizontal="center" vertical="center"/>
      <protection locked="0"/>
    </xf>
    <xf numFmtId="1" fontId="14" fillId="3" borderId="3" xfId="0" applyNumberFormat="1" applyFont="1" applyFill="1" applyBorder="1" applyAlignment="1" applyProtection="1">
      <alignment horizontal="center" vertical="center"/>
      <protection locked="0"/>
    </xf>
    <xf numFmtId="1" fontId="14" fillId="3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7" fillId="8" borderId="4" xfId="0" applyFont="1" applyFill="1" applyBorder="1" applyAlignment="1"/>
    <xf numFmtId="0" fontId="8" fillId="0" borderId="4" xfId="0" applyFont="1" applyBorder="1" applyAlignment="1"/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0" fillId="11" borderId="0" xfId="0" applyFont="1" applyFill="1" applyBorder="1" applyAlignment="1">
      <alignment horizontal="center" vertical="center"/>
    </xf>
    <xf numFmtId="0" fontId="0" fillId="11" borderId="0" xfId="0" applyFill="1" applyAlignment="1"/>
    <xf numFmtId="1" fontId="0" fillId="6" borderId="10" xfId="0" applyNumberFormat="1" applyFill="1" applyBorder="1" applyAlignment="1" applyProtection="1">
      <alignment horizontal="center" vertical="center"/>
    </xf>
    <xf numFmtId="1" fontId="0" fillId="6" borderId="11" xfId="0" applyNumberFormat="1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</xf>
    <xf numFmtId="1" fontId="0" fillId="5" borderId="11" xfId="0" applyNumberFormat="1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56"/>
  <sheetViews>
    <sheetView tabSelected="1" zoomScale="115" zoomScaleNormal="115" workbookViewId="0">
      <pane ySplit="1" topLeftCell="A2" activePane="bottomLeft" state="frozen"/>
      <selection pane="bottomLeft" activeCell="AT19" sqref="AT19:AT23"/>
    </sheetView>
  </sheetViews>
  <sheetFormatPr defaultRowHeight="14.4" x14ac:dyDescent="0.3"/>
  <cols>
    <col min="1" max="1" width="51.33203125" style="26" customWidth="1"/>
    <col min="2" max="3" width="9.109375" style="26" hidden="1" customWidth="1"/>
    <col min="4" max="4" width="10.33203125" style="26" hidden="1" customWidth="1"/>
    <col min="5" max="8" width="9.109375" style="26" hidden="1" customWidth="1"/>
    <col min="9" max="35" width="11.109375" style="26" hidden="1" customWidth="1"/>
    <col min="36" max="40" width="11.109375" style="26" customWidth="1"/>
    <col min="41" max="41" width="2.33203125" style="26" customWidth="1"/>
    <col min="42" max="42" width="13.88671875" style="22" customWidth="1"/>
    <col min="43" max="43" width="12.6640625" style="22" customWidth="1"/>
    <col min="44" max="44" width="13.88671875" style="22" customWidth="1"/>
    <col min="45" max="45" width="13.5546875" style="22" customWidth="1"/>
    <col min="46" max="46" width="50.5546875" style="26" customWidth="1"/>
    <col min="47" max="47" width="22" style="26" customWidth="1"/>
    <col min="48" max="48" width="18.44140625" style="26" customWidth="1"/>
    <col min="49" max="49" width="18.109375" style="26" customWidth="1"/>
    <col min="50" max="50" width="9.109375" style="26"/>
  </cols>
  <sheetData>
    <row r="1" spans="1:53" ht="45.75" customHeight="1" x14ac:dyDescent="0.3">
      <c r="A1" s="27" t="s">
        <v>0</v>
      </c>
      <c r="B1" s="28">
        <v>43916</v>
      </c>
      <c r="C1" s="28">
        <v>43917</v>
      </c>
      <c r="D1" s="29">
        <v>43920</v>
      </c>
      <c r="E1" s="30">
        <v>43921</v>
      </c>
      <c r="F1" s="30">
        <v>43922</v>
      </c>
      <c r="G1" s="30">
        <v>43923</v>
      </c>
      <c r="H1" s="30">
        <v>43924</v>
      </c>
      <c r="I1" s="30">
        <v>43925</v>
      </c>
      <c r="J1" s="30">
        <v>43926</v>
      </c>
      <c r="K1" s="30">
        <v>43927</v>
      </c>
      <c r="L1" s="30">
        <v>43928</v>
      </c>
      <c r="M1" s="30">
        <v>43929</v>
      </c>
      <c r="N1" s="30">
        <v>43930</v>
      </c>
      <c r="O1" s="30">
        <v>43931</v>
      </c>
      <c r="P1" s="30">
        <v>43934</v>
      </c>
      <c r="Q1" s="30">
        <v>43935</v>
      </c>
      <c r="R1" s="30">
        <v>43936</v>
      </c>
      <c r="S1" s="30">
        <v>43937</v>
      </c>
      <c r="T1" s="30">
        <v>43938</v>
      </c>
      <c r="U1" s="30">
        <v>43941</v>
      </c>
      <c r="V1" s="30">
        <v>43942</v>
      </c>
      <c r="W1" s="30">
        <v>43943</v>
      </c>
      <c r="X1" s="30">
        <v>43944</v>
      </c>
      <c r="Y1" s="30">
        <v>43945</v>
      </c>
      <c r="Z1" s="30">
        <v>43948</v>
      </c>
      <c r="AA1" s="30">
        <v>43949</v>
      </c>
      <c r="AB1" s="30">
        <v>43950</v>
      </c>
      <c r="AC1" s="30">
        <v>43951</v>
      </c>
      <c r="AD1" s="30">
        <v>43952</v>
      </c>
      <c r="AE1" s="30">
        <v>43955</v>
      </c>
      <c r="AF1" s="30">
        <v>43956</v>
      </c>
      <c r="AG1" s="30">
        <v>43957</v>
      </c>
      <c r="AH1" s="30">
        <v>43958</v>
      </c>
      <c r="AI1" s="30">
        <v>43964</v>
      </c>
      <c r="AJ1" s="30">
        <v>43966</v>
      </c>
      <c r="AK1" s="30">
        <v>43971</v>
      </c>
      <c r="AL1" s="30">
        <v>43973</v>
      </c>
      <c r="AM1" s="30">
        <v>43978</v>
      </c>
      <c r="AN1" s="30">
        <v>43985</v>
      </c>
      <c r="AO1" s="62" t="s">
        <v>1</v>
      </c>
      <c r="AP1" s="52" t="s">
        <v>2</v>
      </c>
      <c r="AQ1" s="52" t="s">
        <v>2</v>
      </c>
      <c r="AR1" s="17" t="s">
        <v>3</v>
      </c>
      <c r="AS1" s="52" t="s">
        <v>4</v>
      </c>
      <c r="AT1" s="101" t="s">
        <v>5</v>
      </c>
      <c r="AU1" s="58" t="s">
        <v>6</v>
      </c>
      <c r="AV1" s="58" t="s">
        <v>7</v>
      </c>
      <c r="AW1" s="23"/>
      <c r="AX1" s="23"/>
    </row>
    <row r="2" spans="1:53" ht="21" x14ac:dyDescent="0.4">
      <c r="A2" s="31" t="s">
        <v>8</v>
      </c>
      <c r="B2" s="28"/>
      <c r="C2" s="28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50"/>
      <c r="AP2" s="53"/>
      <c r="AQ2" s="53"/>
      <c r="AR2" s="18"/>
      <c r="AS2" s="53"/>
      <c r="AT2" s="102"/>
      <c r="AU2" s="59"/>
      <c r="AV2" s="59"/>
      <c r="AW2" s="24"/>
      <c r="AX2" s="24"/>
    </row>
    <row r="3" spans="1:53" x14ac:dyDescent="0.3">
      <c r="A3" s="34" t="s">
        <v>9</v>
      </c>
      <c r="B3" s="35"/>
      <c r="C3" s="35"/>
      <c r="D3" s="36">
        <v>150</v>
      </c>
      <c r="E3" s="35">
        <v>135</v>
      </c>
      <c r="F3" s="35">
        <v>120</v>
      </c>
      <c r="G3" s="35">
        <v>91</v>
      </c>
      <c r="H3" s="35">
        <v>250</v>
      </c>
      <c r="I3" s="35">
        <v>237</v>
      </c>
      <c r="J3" s="35">
        <v>217</v>
      </c>
      <c r="K3" s="35">
        <v>217</v>
      </c>
      <c r="L3" s="35">
        <v>169</v>
      </c>
      <c r="M3" s="35">
        <v>169</v>
      </c>
      <c r="N3" s="35">
        <v>132</v>
      </c>
      <c r="O3" s="35">
        <v>107</v>
      </c>
      <c r="P3" s="92">
        <v>57</v>
      </c>
      <c r="Q3" s="92">
        <v>57</v>
      </c>
      <c r="R3" s="92">
        <v>44</v>
      </c>
      <c r="S3" s="92">
        <v>111</v>
      </c>
      <c r="T3" s="92">
        <v>96</v>
      </c>
      <c r="U3" s="92">
        <v>26</v>
      </c>
      <c r="V3" s="92">
        <v>107</v>
      </c>
      <c r="W3" s="92">
        <v>90</v>
      </c>
      <c r="X3" s="92">
        <v>153</v>
      </c>
      <c r="Y3" s="92">
        <v>144</v>
      </c>
      <c r="Z3" s="92">
        <v>111</v>
      </c>
      <c r="AA3" s="92">
        <v>213</v>
      </c>
      <c r="AB3" s="92">
        <v>208</v>
      </c>
      <c r="AC3" s="92">
        <v>181</v>
      </c>
      <c r="AD3" s="92">
        <v>173</v>
      </c>
      <c r="AE3" s="92">
        <v>133</v>
      </c>
      <c r="AF3" s="92">
        <v>133</v>
      </c>
      <c r="AG3" s="92">
        <v>243</v>
      </c>
      <c r="AH3" s="92">
        <v>364</v>
      </c>
      <c r="AI3" s="92">
        <v>391</v>
      </c>
      <c r="AJ3" s="92">
        <v>371</v>
      </c>
      <c r="AK3" s="92">
        <v>377</v>
      </c>
      <c r="AL3" s="92">
        <v>373</v>
      </c>
      <c r="AM3" s="92">
        <v>384</v>
      </c>
      <c r="AN3" s="92">
        <v>260</v>
      </c>
      <c r="AO3" s="35"/>
      <c r="AP3" s="54">
        <f ca="1">OFFSET(AP3,0,-2)/3.6</f>
        <v>72.222222222222214</v>
      </c>
      <c r="AQ3" s="163">
        <f ca="1">SUM(AP3:AP6)</f>
        <v>564.02777777777771</v>
      </c>
      <c r="AR3" s="161">
        <v>10</v>
      </c>
      <c r="AS3" s="163">
        <f ca="1">AQ3/AR3</f>
        <v>56.402777777777771</v>
      </c>
      <c r="AT3" s="186" t="s">
        <v>10</v>
      </c>
      <c r="AU3" s="54">
        <f ca="1">(OFFSET(AU3,0,-8)+OFFSET(AU3,0,-9)+OFFSET(AU3,0,-10))/3</f>
        <v>378</v>
      </c>
      <c r="AV3" s="54">
        <f ca="1">(OFFSET(AV3,0,-8))-(OFFSET(AV3,0,-1))</f>
        <v>-118</v>
      </c>
      <c r="AW3" s="35"/>
      <c r="AX3" s="35"/>
    </row>
    <row r="4" spans="1:53" x14ac:dyDescent="0.3">
      <c r="A4" s="34" t="s">
        <v>11</v>
      </c>
      <c r="B4" s="35"/>
      <c r="C4" s="35"/>
      <c r="D4" s="36">
        <v>59</v>
      </c>
      <c r="E4" s="35">
        <v>59</v>
      </c>
      <c r="F4" s="35">
        <v>59</v>
      </c>
      <c r="G4" s="35">
        <v>54</v>
      </c>
      <c r="H4" s="35">
        <v>54</v>
      </c>
      <c r="I4" s="35">
        <v>54</v>
      </c>
      <c r="J4" s="35">
        <v>54</v>
      </c>
      <c r="K4" s="35">
        <v>54</v>
      </c>
      <c r="L4" s="35">
        <v>54</v>
      </c>
      <c r="M4" s="35">
        <v>54</v>
      </c>
      <c r="N4" s="35">
        <v>54</v>
      </c>
      <c r="O4" s="35">
        <v>54</v>
      </c>
      <c r="P4" s="35">
        <v>54</v>
      </c>
      <c r="Q4" s="35">
        <v>54</v>
      </c>
      <c r="R4" s="35">
        <v>54</v>
      </c>
      <c r="S4" s="35">
        <v>54</v>
      </c>
      <c r="T4" s="35">
        <v>54</v>
      </c>
      <c r="U4" s="35">
        <v>54</v>
      </c>
      <c r="V4" s="35">
        <v>54</v>
      </c>
      <c r="W4" s="35">
        <v>54</v>
      </c>
      <c r="X4" s="35">
        <v>42</v>
      </c>
      <c r="Y4" s="35">
        <v>42</v>
      </c>
      <c r="Z4" s="35">
        <v>42</v>
      </c>
      <c r="AA4" s="35">
        <v>67</v>
      </c>
      <c r="AB4" s="35">
        <v>67</v>
      </c>
      <c r="AC4" s="35">
        <v>61</v>
      </c>
      <c r="AD4" s="35">
        <v>61</v>
      </c>
      <c r="AE4" s="35">
        <v>61</v>
      </c>
      <c r="AF4" s="35">
        <v>61</v>
      </c>
      <c r="AG4" s="35">
        <v>57</v>
      </c>
      <c r="AH4" s="35">
        <v>57</v>
      </c>
      <c r="AI4" s="35">
        <v>57</v>
      </c>
      <c r="AJ4" s="35">
        <v>57</v>
      </c>
      <c r="AK4" s="35">
        <v>51</v>
      </c>
      <c r="AL4" s="35">
        <v>51</v>
      </c>
      <c r="AM4" s="35">
        <v>51</v>
      </c>
      <c r="AN4" s="35">
        <v>51</v>
      </c>
      <c r="AO4" s="35"/>
      <c r="AP4" s="54">
        <f ca="1">(OFFSET(AP4,0,-2)/2)/3.6</f>
        <v>7.083333333333333</v>
      </c>
      <c r="AQ4" s="171"/>
      <c r="AR4" s="180"/>
      <c r="AS4" s="171"/>
      <c r="AT4" s="187"/>
      <c r="AU4" s="54">
        <f ca="1">(OFFSET(AU4,0,-8)+OFFSET(AU4,0,-9)+OFFSET(AU4,0,-10))/3</f>
        <v>51</v>
      </c>
      <c r="AV4" s="54">
        <f t="shared" ref="AV4:AV46" ca="1" si="0">(OFFSET(AV4,0,-8))-(OFFSET(AV4,0,-1))</f>
        <v>0</v>
      </c>
      <c r="AW4" s="35"/>
      <c r="AX4" s="35"/>
    </row>
    <row r="5" spans="1:53" x14ac:dyDescent="0.3">
      <c r="A5" s="34" t="s">
        <v>12</v>
      </c>
      <c r="B5" s="35"/>
      <c r="C5" s="35"/>
      <c r="D5" s="36">
        <v>8685</v>
      </c>
      <c r="E5" s="35">
        <v>8685</v>
      </c>
      <c r="F5" s="35">
        <v>8685</v>
      </c>
      <c r="G5" s="35">
        <v>8535</v>
      </c>
      <c r="H5" s="35">
        <v>8535</v>
      </c>
      <c r="I5" s="35">
        <v>8535</v>
      </c>
      <c r="J5" s="35">
        <v>8510</v>
      </c>
      <c r="K5" s="35">
        <v>8510</v>
      </c>
      <c r="L5" s="35">
        <v>8475</v>
      </c>
      <c r="M5" s="35">
        <v>8475</v>
      </c>
      <c r="N5" s="35">
        <v>8420</v>
      </c>
      <c r="O5" s="35">
        <v>8420</v>
      </c>
      <c r="P5" s="35">
        <v>8470</v>
      </c>
      <c r="Q5" s="35">
        <v>8546</v>
      </c>
      <c r="R5" s="35">
        <v>8530</v>
      </c>
      <c r="S5" s="35">
        <v>8385</v>
      </c>
      <c r="T5" s="35">
        <v>8300</v>
      </c>
      <c r="U5" s="35">
        <v>8450</v>
      </c>
      <c r="V5" s="35">
        <v>9130</v>
      </c>
      <c r="W5" s="35">
        <v>9045</v>
      </c>
      <c r="X5" s="35">
        <v>8815</v>
      </c>
      <c r="Y5" s="35">
        <v>8815</v>
      </c>
      <c r="Z5" s="35">
        <v>8815</v>
      </c>
      <c r="AA5" s="35">
        <v>8775</v>
      </c>
      <c r="AB5" s="35">
        <v>8775</v>
      </c>
      <c r="AC5" s="35">
        <v>8675</v>
      </c>
      <c r="AD5" s="35">
        <v>8645</v>
      </c>
      <c r="AE5" s="35">
        <v>8625</v>
      </c>
      <c r="AF5" s="35">
        <v>8875</v>
      </c>
      <c r="AG5" s="35">
        <v>8565</v>
      </c>
      <c r="AH5" s="35">
        <v>9075</v>
      </c>
      <c r="AI5" s="35">
        <v>9185</v>
      </c>
      <c r="AJ5" s="35">
        <v>9130</v>
      </c>
      <c r="AK5" s="35">
        <v>8700</v>
      </c>
      <c r="AL5" s="35">
        <v>8625</v>
      </c>
      <c r="AM5" s="35">
        <v>8520</v>
      </c>
      <c r="AN5" s="35">
        <v>11560</v>
      </c>
      <c r="AO5" s="35"/>
      <c r="AP5" s="54">
        <f ca="1">(OFFSET(AP5,0,-2)/8)/3.6</f>
        <v>401.38888888888886</v>
      </c>
      <c r="AQ5" s="171"/>
      <c r="AR5" s="180"/>
      <c r="AS5" s="171"/>
      <c r="AT5" s="187"/>
      <c r="AU5" s="54">
        <f t="shared" ref="AU5:AU46" ca="1" si="1">(OFFSET(AU5,0,-8)+OFFSET(AU5,0,-9)+OFFSET(AU5,0,-10))/3</f>
        <v>8615</v>
      </c>
      <c r="AV5" s="54">
        <f t="shared" ca="1" si="0"/>
        <v>2945</v>
      </c>
      <c r="AW5" s="35"/>
      <c r="AX5" s="35"/>
    </row>
    <row r="6" spans="1:53" x14ac:dyDescent="0.3">
      <c r="A6" s="34" t="s">
        <v>13</v>
      </c>
      <c r="B6" s="35"/>
      <c r="C6" s="35"/>
      <c r="D6" s="36">
        <v>100</v>
      </c>
      <c r="E6" s="35">
        <v>100</v>
      </c>
      <c r="F6" s="35">
        <v>100</v>
      </c>
      <c r="G6" s="35">
        <v>100</v>
      </c>
      <c r="H6" s="35">
        <v>100</v>
      </c>
      <c r="I6" s="35">
        <v>100</v>
      </c>
      <c r="J6" s="35">
        <v>100</v>
      </c>
      <c r="K6" s="35">
        <v>100</v>
      </c>
      <c r="L6" s="35">
        <v>100</v>
      </c>
      <c r="M6" s="35">
        <v>100</v>
      </c>
      <c r="N6" s="35">
        <v>100</v>
      </c>
      <c r="O6" s="35">
        <v>100</v>
      </c>
      <c r="P6" s="35">
        <v>100</v>
      </c>
      <c r="Q6" s="35">
        <v>100</v>
      </c>
      <c r="R6" s="35">
        <v>100</v>
      </c>
      <c r="S6" s="35">
        <v>100</v>
      </c>
      <c r="T6" s="35">
        <v>100</v>
      </c>
      <c r="U6" s="35">
        <v>100</v>
      </c>
      <c r="V6" s="35">
        <v>300</v>
      </c>
      <c r="W6" s="35">
        <v>300</v>
      </c>
      <c r="X6" s="35">
        <v>300</v>
      </c>
      <c r="Y6" s="35">
        <v>300</v>
      </c>
      <c r="Z6" s="35">
        <v>300</v>
      </c>
      <c r="AA6" s="35">
        <v>300</v>
      </c>
      <c r="AB6" s="35">
        <v>300</v>
      </c>
      <c r="AC6" s="35">
        <v>300</v>
      </c>
      <c r="AD6" s="35">
        <v>300</v>
      </c>
      <c r="AE6" s="35">
        <v>300</v>
      </c>
      <c r="AF6" s="35">
        <v>300</v>
      </c>
      <c r="AG6" s="35">
        <v>300</v>
      </c>
      <c r="AH6" s="35">
        <v>300</v>
      </c>
      <c r="AI6" s="35">
        <v>300</v>
      </c>
      <c r="AJ6" s="35">
        <v>300</v>
      </c>
      <c r="AK6" s="35">
        <v>300</v>
      </c>
      <c r="AL6" s="35">
        <v>300</v>
      </c>
      <c r="AM6" s="35">
        <v>300</v>
      </c>
      <c r="AN6" s="35">
        <v>300</v>
      </c>
      <c r="AO6" s="35"/>
      <c r="AP6" s="54">
        <f ca="1">OFFSET(AP6,0,-2)/3.6</f>
        <v>83.333333333333329</v>
      </c>
      <c r="AQ6" s="164"/>
      <c r="AR6" s="162"/>
      <c r="AS6" s="164"/>
      <c r="AT6" s="188"/>
      <c r="AU6" s="54">
        <f t="shared" ca="1" si="1"/>
        <v>300</v>
      </c>
      <c r="AV6" s="54">
        <f t="shared" ca="1" si="0"/>
        <v>0</v>
      </c>
      <c r="AW6" s="35"/>
      <c r="AX6" s="35"/>
    </row>
    <row r="7" spans="1:53" x14ac:dyDescent="0.3">
      <c r="A7" s="27" t="s">
        <v>14</v>
      </c>
      <c r="B7" s="23"/>
      <c r="C7" s="23"/>
      <c r="D7" s="37">
        <v>280</v>
      </c>
      <c r="E7" s="23">
        <v>230</v>
      </c>
      <c r="F7" s="23">
        <v>260</v>
      </c>
      <c r="G7" s="23">
        <v>460</v>
      </c>
      <c r="H7" s="23">
        <v>460</v>
      </c>
      <c r="I7" s="23">
        <v>460</v>
      </c>
      <c r="J7" s="23">
        <v>450</v>
      </c>
      <c r="K7" s="23">
        <v>550</v>
      </c>
      <c r="L7" s="23">
        <v>500</v>
      </c>
      <c r="M7" s="23">
        <v>500</v>
      </c>
      <c r="N7" s="23">
        <v>550</v>
      </c>
      <c r="O7" s="23">
        <v>550</v>
      </c>
      <c r="P7" s="23">
        <v>660</v>
      </c>
      <c r="Q7" s="23">
        <v>750</v>
      </c>
      <c r="R7" s="23">
        <v>750</v>
      </c>
      <c r="S7" s="23">
        <v>780</v>
      </c>
      <c r="T7" s="23">
        <v>850</v>
      </c>
      <c r="U7" s="23">
        <v>850</v>
      </c>
      <c r="V7" s="23">
        <v>850</v>
      </c>
      <c r="W7" s="23">
        <v>850</v>
      </c>
      <c r="X7" s="23">
        <v>850</v>
      </c>
      <c r="Y7" s="23">
        <v>850</v>
      </c>
      <c r="Z7" s="23">
        <v>840</v>
      </c>
      <c r="AA7" s="23">
        <v>840</v>
      </c>
      <c r="AB7" s="23">
        <v>840</v>
      </c>
      <c r="AC7" s="23">
        <v>840</v>
      </c>
      <c r="AD7" s="23">
        <v>840</v>
      </c>
      <c r="AE7" s="23">
        <v>840</v>
      </c>
      <c r="AF7" s="23">
        <v>840</v>
      </c>
      <c r="AG7" s="23">
        <v>840</v>
      </c>
      <c r="AH7" s="23">
        <v>840</v>
      </c>
      <c r="AI7" s="23">
        <v>1149</v>
      </c>
      <c r="AJ7" s="23">
        <v>820</v>
      </c>
      <c r="AK7" s="23">
        <v>810</v>
      </c>
      <c r="AL7" s="23">
        <v>800</v>
      </c>
      <c r="AM7" s="23">
        <v>490</v>
      </c>
      <c r="AN7" s="23">
        <v>580</v>
      </c>
      <c r="AO7" s="63"/>
      <c r="AP7" s="55">
        <f ca="1">(OFFSET(AP7,0,-2)/2)/3</f>
        <v>96.666666666666671</v>
      </c>
      <c r="AQ7" s="168">
        <f ca="1">SUM(AP7:AP10)</f>
        <v>480.00000000000006</v>
      </c>
      <c r="AR7" s="165">
        <v>0</v>
      </c>
      <c r="AS7" s="168" t="e">
        <f ca="1">AQ7/AR7</f>
        <v>#DIV/0!</v>
      </c>
      <c r="AT7" s="200"/>
      <c r="AU7" s="60">
        <f t="shared" ca="1" si="1"/>
        <v>700</v>
      </c>
      <c r="AV7" s="60">
        <f t="shared" ca="1" si="0"/>
        <v>-120</v>
      </c>
      <c r="AW7" s="23"/>
      <c r="AX7" s="23"/>
    </row>
    <row r="8" spans="1:53" x14ac:dyDescent="0.3">
      <c r="A8" s="38" t="s">
        <v>15</v>
      </c>
      <c r="B8" s="23"/>
      <c r="C8" s="23"/>
      <c r="D8" s="37">
        <v>210</v>
      </c>
      <c r="E8" s="23">
        <v>210</v>
      </c>
      <c r="F8" s="23">
        <v>170</v>
      </c>
      <c r="G8" s="23">
        <v>350</v>
      </c>
      <c r="H8" s="23">
        <v>350</v>
      </c>
      <c r="I8" s="23">
        <v>350</v>
      </c>
      <c r="J8" s="23">
        <v>350</v>
      </c>
      <c r="K8" s="23">
        <v>350</v>
      </c>
      <c r="L8" s="23">
        <v>350</v>
      </c>
      <c r="M8" s="23">
        <v>350</v>
      </c>
      <c r="N8" s="23">
        <v>400</v>
      </c>
      <c r="O8" s="23">
        <v>400</v>
      </c>
      <c r="P8" s="23">
        <v>450</v>
      </c>
      <c r="Q8" s="23">
        <v>450</v>
      </c>
      <c r="R8" s="23">
        <v>550</v>
      </c>
      <c r="S8" s="23">
        <v>570</v>
      </c>
      <c r="T8" s="23">
        <v>570</v>
      </c>
      <c r="U8" s="23">
        <v>570</v>
      </c>
      <c r="V8" s="23">
        <v>570</v>
      </c>
      <c r="W8" s="23">
        <v>570</v>
      </c>
      <c r="X8" s="23">
        <v>570</v>
      </c>
      <c r="Y8" s="23">
        <v>570</v>
      </c>
      <c r="Z8" s="23">
        <v>570</v>
      </c>
      <c r="AA8" s="23">
        <v>570</v>
      </c>
      <c r="AB8" s="23">
        <v>570</v>
      </c>
      <c r="AC8" s="23">
        <v>570</v>
      </c>
      <c r="AD8" s="23">
        <v>570</v>
      </c>
      <c r="AE8" s="23">
        <v>570</v>
      </c>
      <c r="AF8" s="23">
        <v>570</v>
      </c>
      <c r="AG8" s="23">
        <v>570</v>
      </c>
      <c r="AH8" s="23">
        <v>570</v>
      </c>
      <c r="AI8" s="23">
        <v>570</v>
      </c>
      <c r="AJ8" s="23">
        <v>570</v>
      </c>
      <c r="AK8" s="23">
        <v>570</v>
      </c>
      <c r="AL8" s="23">
        <v>570</v>
      </c>
      <c r="AM8" s="23">
        <v>570</v>
      </c>
      <c r="AN8" s="23">
        <v>320</v>
      </c>
      <c r="AO8" s="63"/>
      <c r="AP8" s="55">
        <f ca="1">(OFFSET(AP8,0,-2)*2.5)/3</f>
        <v>266.66666666666669</v>
      </c>
      <c r="AQ8" s="169"/>
      <c r="AR8" s="166"/>
      <c r="AS8" s="169"/>
      <c r="AT8" s="201"/>
      <c r="AU8" s="60">
        <f t="shared" ca="1" si="1"/>
        <v>570</v>
      </c>
      <c r="AV8" s="60">
        <f t="shared" ca="1" si="0"/>
        <v>-250</v>
      </c>
      <c r="AW8" s="23"/>
      <c r="AX8" s="23"/>
    </row>
    <row r="9" spans="1:53" hidden="1" x14ac:dyDescent="0.3">
      <c r="A9" s="38" t="s">
        <v>16</v>
      </c>
      <c r="B9" s="23"/>
      <c r="C9" s="23"/>
      <c r="D9" s="37"/>
      <c r="E9" s="23"/>
      <c r="F9" s="23"/>
      <c r="G9" s="23"/>
      <c r="H9" s="23">
        <v>5</v>
      </c>
      <c r="I9" s="23">
        <v>5</v>
      </c>
      <c r="J9" s="23">
        <v>5</v>
      </c>
      <c r="K9" s="23">
        <v>5</v>
      </c>
      <c r="L9" s="23">
        <v>5</v>
      </c>
      <c r="M9" s="23">
        <v>5</v>
      </c>
      <c r="N9" s="23">
        <v>5</v>
      </c>
      <c r="O9" s="23">
        <v>5</v>
      </c>
      <c r="P9" s="23">
        <v>5</v>
      </c>
      <c r="Q9" s="23">
        <v>5</v>
      </c>
      <c r="R9" s="23">
        <v>5</v>
      </c>
      <c r="S9" s="23">
        <v>5</v>
      </c>
      <c r="T9" s="23">
        <v>5</v>
      </c>
      <c r="U9" s="23">
        <v>5</v>
      </c>
      <c r="V9" s="23">
        <v>5</v>
      </c>
      <c r="W9" s="23">
        <v>5</v>
      </c>
      <c r="X9" s="23">
        <v>5</v>
      </c>
      <c r="Y9" s="23">
        <v>5</v>
      </c>
      <c r="Z9" s="23">
        <v>5</v>
      </c>
      <c r="AA9" s="23">
        <v>5</v>
      </c>
      <c r="AB9" s="23">
        <v>5</v>
      </c>
      <c r="AC9" s="23">
        <v>5</v>
      </c>
      <c r="AD9" s="23">
        <v>5</v>
      </c>
      <c r="AE9" s="23">
        <v>5</v>
      </c>
      <c r="AF9" s="23">
        <v>5</v>
      </c>
      <c r="AG9" s="23">
        <v>5</v>
      </c>
      <c r="AH9" s="23">
        <v>5</v>
      </c>
      <c r="AI9" s="23">
        <v>5</v>
      </c>
      <c r="AJ9" s="23">
        <v>5</v>
      </c>
      <c r="AK9" s="23">
        <v>5</v>
      </c>
      <c r="AL9" s="23">
        <v>5</v>
      </c>
      <c r="AM9" s="23">
        <v>5</v>
      </c>
      <c r="AN9" s="23">
        <v>0</v>
      </c>
      <c r="AO9" s="63"/>
      <c r="AP9" s="55">
        <f ca="1">(OFFSET(AP9,0,-2)*2)/3</f>
        <v>0</v>
      </c>
      <c r="AQ9" s="169"/>
      <c r="AR9" s="166"/>
      <c r="AS9" s="169"/>
      <c r="AT9" s="201"/>
      <c r="AU9" s="60">
        <f t="shared" ca="1" si="1"/>
        <v>5</v>
      </c>
      <c r="AV9" s="60">
        <f t="shared" ca="1" si="0"/>
        <v>-5</v>
      </c>
      <c r="AW9" s="23"/>
      <c r="AX9" s="23"/>
    </row>
    <row r="10" spans="1:53" x14ac:dyDescent="0.3">
      <c r="A10" s="38" t="s">
        <v>17</v>
      </c>
      <c r="B10" s="23"/>
      <c r="C10" s="23"/>
      <c r="D10" s="37"/>
      <c r="E10" s="23"/>
      <c r="F10" s="23"/>
      <c r="G10" s="23"/>
      <c r="H10" s="23">
        <v>14</v>
      </c>
      <c r="I10" s="23">
        <v>14</v>
      </c>
      <c r="J10" s="23">
        <v>14</v>
      </c>
      <c r="K10" s="23">
        <v>14</v>
      </c>
      <c r="L10" s="23">
        <v>14</v>
      </c>
      <c r="M10" s="23">
        <v>14</v>
      </c>
      <c r="N10" s="23">
        <v>14</v>
      </c>
      <c r="O10" s="23">
        <v>14</v>
      </c>
      <c r="P10" s="23">
        <v>14</v>
      </c>
      <c r="Q10" s="23">
        <v>14</v>
      </c>
      <c r="R10" s="23">
        <v>14</v>
      </c>
      <c r="S10" s="23">
        <v>14</v>
      </c>
      <c r="T10" s="23">
        <v>14</v>
      </c>
      <c r="U10" s="23">
        <v>14</v>
      </c>
      <c r="V10" s="23">
        <v>14</v>
      </c>
      <c r="W10" s="23">
        <v>14</v>
      </c>
      <c r="X10" s="23">
        <v>14</v>
      </c>
      <c r="Y10" s="23">
        <v>14</v>
      </c>
      <c r="Z10" s="23">
        <v>14</v>
      </c>
      <c r="AA10" s="23">
        <v>14</v>
      </c>
      <c r="AB10" s="23">
        <v>14</v>
      </c>
      <c r="AC10" s="23">
        <v>14</v>
      </c>
      <c r="AD10" s="23">
        <v>14</v>
      </c>
      <c r="AE10" s="23">
        <v>14</v>
      </c>
      <c r="AF10" s="23">
        <v>14</v>
      </c>
      <c r="AG10" s="23">
        <v>14</v>
      </c>
      <c r="AH10" s="23">
        <v>14</v>
      </c>
      <c r="AI10" s="23">
        <v>14</v>
      </c>
      <c r="AJ10" s="23">
        <v>14</v>
      </c>
      <c r="AK10" s="23">
        <v>14</v>
      </c>
      <c r="AL10" s="23">
        <v>14</v>
      </c>
      <c r="AM10" s="23">
        <v>14</v>
      </c>
      <c r="AN10" s="23">
        <v>14</v>
      </c>
      <c r="AO10" s="63"/>
      <c r="AP10" s="55">
        <f ca="1">(OFFSET(AP10,0,-2)*25)/3</f>
        <v>116.66666666666667</v>
      </c>
      <c r="AQ10" s="170"/>
      <c r="AR10" s="167"/>
      <c r="AS10" s="170"/>
      <c r="AT10" s="202"/>
      <c r="AU10" s="60">
        <f t="shared" ca="1" si="1"/>
        <v>14</v>
      </c>
      <c r="AV10" s="60">
        <f t="shared" ca="1" si="0"/>
        <v>0</v>
      </c>
      <c r="AW10" s="23"/>
      <c r="AX10" s="23"/>
    </row>
    <row r="11" spans="1:53" x14ac:dyDescent="0.3">
      <c r="A11" s="34" t="s">
        <v>18</v>
      </c>
      <c r="B11" s="25"/>
      <c r="C11" s="25"/>
      <c r="D11" s="40"/>
      <c r="E11" s="25"/>
      <c r="F11" s="25">
        <v>8140</v>
      </c>
      <c r="G11" s="25">
        <v>8130</v>
      </c>
      <c r="H11" s="25">
        <v>9380</v>
      </c>
      <c r="I11" s="25">
        <v>9355</v>
      </c>
      <c r="J11" s="25">
        <v>9305</v>
      </c>
      <c r="K11" s="25">
        <v>9305</v>
      </c>
      <c r="L11" s="25">
        <v>10250</v>
      </c>
      <c r="M11" s="25">
        <v>10250</v>
      </c>
      <c r="N11" s="25">
        <v>10170</v>
      </c>
      <c r="O11" s="25">
        <v>10150</v>
      </c>
      <c r="P11" s="25">
        <v>10150</v>
      </c>
      <c r="Q11" s="25">
        <v>10148</v>
      </c>
      <c r="R11" s="25">
        <v>10108</v>
      </c>
      <c r="S11" s="25">
        <v>10058</v>
      </c>
      <c r="T11" s="25">
        <v>10033</v>
      </c>
      <c r="U11" s="25">
        <v>9800</v>
      </c>
      <c r="V11" s="25">
        <v>9780</v>
      </c>
      <c r="W11" s="25">
        <v>9730</v>
      </c>
      <c r="X11" s="25">
        <v>9730</v>
      </c>
      <c r="Y11" s="25">
        <v>9730</v>
      </c>
      <c r="Z11" s="25">
        <v>9630</v>
      </c>
      <c r="AA11" s="25">
        <v>9580</v>
      </c>
      <c r="AB11" s="25">
        <v>9510</v>
      </c>
      <c r="AC11" s="25">
        <v>9470</v>
      </c>
      <c r="AD11" s="25">
        <v>9440</v>
      </c>
      <c r="AE11" s="25">
        <v>9390</v>
      </c>
      <c r="AF11" s="25">
        <v>9390</v>
      </c>
      <c r="AG11" s="25">
        <v>9320</v>
      </c>
      <c r="AH11" s="25">
        <v>9270</v>
      </c>
      <c r="AI11" s="25">
        <v>10071</v>
      </c>
      <c r="AJ11" s="25">
        <v>10041</v>
      </c>
      <c r="AK11" s="25">
        <v>9931</v>
      </c>
      <c r="AL11" s="25">
        <v>9871</v>
      </c>
      <c r="AM11" s="25">
        <v>9591</v>
      </c>
      <c r="AN11" s="25">
        <v>9351</v>
      </c>
      <c r="AO11" s="35"/>
      <c r="AP11" s="56">
        <f ca="1">OFFSET(AP11,0,-2)/24</f>
        <v>389.625</v>
      </c>
      <c r="AQ11" s="56">
        <f ca="1">AP11</f>
        <v>389.625</v>
      </c>
      <c r="AR11" s="19">
        <v>0</v>
      </c>
      <c r="AS11" s="56" t="e">
        <f ca="1">AQ11/AR11</f>
        <v>#DIV/0!</v>
      </c>
      <c r="AT11" s="103"/>
      <c r="AU11" s="54">
        <f t="shared" ca="1" si="1"/>
        <v>9797.6666666666661</v>
      </c>
      <c r="AV11" s="54">
        <f t="shared" ca="1" si="0"/>
        <v>-446.66666666666606</v>
      </c>
      <c r="AW11" s="35"/>
      <c r="AX11" s="25"/>
    </row>
    <row r="12" spans="1:53" x14ac:dyDescent="0.3">
      <c r="A12" s="27" t="s">
        <v>19</v>
      </c>
      <c r="B12" s="23"/>
      <c r="C12" s="23"/>
      <c r="D12" s="37">
        <v>734</v>
      </c>
      <c r="E12" s="23">
        <v>807</v>
      </c>
      <c r="F12" s="23">
        <v>807</v>
      </c>
      <c r="G12" s="23">
        <v>841</v>
      </c>
      <c r="H12" s="23">
        <v>871</v>
      </c>
      <c r="I12" s="23">
        <v>894</v>
      </c>
      <c r="J12" s="23">
        <v>859</v>
      </c>
      <c r="K12" s="23">
        <v>832</v>
      </c>
      <c r="L12" s="23">
        <v>742</v>
      </c>
      <c r="M12" s="23">
        <v>692</v>
      </c>
      <c r="N12" s="23">
        <v>892</v>
      </c>
      <c r="O12" s="23">
        <v>832</v>
      </c>
      <c r="P12" s="23">
        <v>712</v>
      </c>
      <c r="Q12" s="23">
        <v>812</v>
      </c>
      <c r="R12" s="23">
        <v>732</v>
      </c>
      <c r="S12" s="23">
        <v>727</v>
      </c>
      <c r="T12" s="23">
        <v>1442</v>
      </c>
      <c r="U12" s="23">
        <v>1612</v>
      </c>
      <c r="V12" s="23">
        <v>1572</v>
      </c>
      <c r="W12" s="23">
        <v>1562</v>
      </c>
      <c r="X12" s="23">
        <v>1792</v>
      </c>
      <c r="Y12" s="23">
        <v>1792</v>
      </c>
      <c r="Z12" s="23">
        <v>1723</v>
      </c>
      <c r="AA12" s="23">
        <v>1692</v>
      </c>
      <c r="AB12" s="23">
        <v>1662</v>
      </c>
      <c r="AC12" s="23">
        <v>1643</v>
      </c>
      <c r="AD12" s="23">
        <v>1607</v>
      </c>
      <c r="AE12" s="23">
        <v>1541</v>
      </c>
      <c r="AF12" s="23">
        <v>1501</v>
      </c>
      <c r="AG12" s="23">
        <v>1500</v>
      </c>
      <c r="AH12" s="23">
        <v>1438</v>
      </c>
      <c r="AI12" s="23">
        <v>1288</v>
      </c>
      <c r="AJ12" s="23">
        <v>1250</v>
      </c>
      <c r="AK12" s="23">
        <v>1160</v>
      </c>
      <c r="AL12" s="23">
        <v>1080</v>
      </c>
      <c r="AM12" s="23">
        <v>910</v>
      </c>
      <c r="AN12" s="23">
        <v>810</v>
      </c>
      <c r="AO12" s="63"/>
      <c r="AP12" s="55">
        <f ca="1">OFFSET(AP12,0,-2)/3.5</f>
        <v>231.42857142857142</v>
      </c>
      <c r="AQ12" s="168">
        <f ca="1">SUM(AP12:AP13)</f>
        <v>294.28571428571428</v>
      </c>
      <c r="AR12" s="165">
        <v>5</v>
      </c>
      <c r="AS12" s="168">
        <f ca="1">AQ12/AR12</f>
        <v>58.857142857142854</v>
      </c>
      <c r="AT12" s="189" t="s">
        <v>20</v>
      </c>
      <c r="AU12" s="60">
        <f t="shared" ca="1" si="1"/>
        <v>1050</v>
      </c>
      <c r="AV12" s="60">
        <f ca="1">(OFFSET(AV12,0,-8))-(OFFSET(AV12,0,-1))</f>
        <v>-240</v>
      </c>
      <c r="AW12" s="23"/>
      <c r="AX12" s="23"/>
    </row>
    <row r="13" spans="1:53" x14ac:dyDescent="0.3">
      <c r="A13" s="27" t="s">
        <v>21</v>
      </c>
      <c r="B13" s="23"/>
      <c r="C13" s="23"/>
      <c r="D13" s="37">
        <v>69</v>
      </c>
      <c r="E13" s="23">
        <v>269</v>
      </c>
      <c r="F13" s="23">
        <v>269</v>
      </c>
      <c r="G13" s="23">
        <v>289</v>
      </c>
      <c r="H13" s="23">
        <v>289</v>
      </c>
      <c r="I13" s="23">
        <v>289</v>
      </c>
      <c r="J13" s="23">
        <v>289</v>
      </c>
      <c r="K13" s="23">
        <v>289</v>
      </c>
      <c r="L13" s="23">
        <v>289</v>
      </c>
      <c r="M13" s="23">
        <v>289</v>
      </c>
      <c r="N13" s="23">
        <v>289</v>
      </c>
      <c r="O13" s="23">
        <v>289</v>
      </c>
      <c r="P13" s="23">
        <v>289</v>
      </c>
      <c r="Q13" s="23">
        <v>289</v>
      </c>
      <c r="R13" s="23">
        <v>289</v>
      </c>
      <c r="S13" s="23">
        <v>289</v>
      </c>
      <c r="T13" s="23">
        <v>289</v>
      </c>
      <c r="U13" s="23">
        <v>289</v>
      </c>
      <c r="V13" s="23">
        <v>289</v>
      </c>
      <c r="W13" s="23">
        <v>289</v>
      </c>
      <c r="X13" s="23">
        <v>369</v>
      </c>
      <c r="Y13" s="23">
        <v>369</v>
      </c>
      <c r="Z13" s="23">
        <v>389</v>
      </c>
      <c r="AA13" s="23">
        <v>389</v>
      </c>
      <c r="AB13" s="23">
        <v>389</v>
      </c>
      <c r="AC13" s="23">
        <v>389</v>
      </c>
      <c r="AD13" s="23">
        <v>389</v>
      </c>
      <c r="AE13" s="23">
        <v>389</v>
      </c>
      <c r="AF13" s="23">
        <v>429</v>
      </c>
      <c r="AG13" s="23">
        <v>429</v>
      </c>
      <c r="AH13" s="23">
        <v>429</v>
      </c>
      <c r="AI13" s="23">
        <v>449</v>
      </c>
      <c r="AJ13" s="23">
        <v>449</v>
      </c>
      <c r="AK13" s="23">
        <v>449</v>
      </c>
      <c r="AL13" s="23">
        <v>429</v>
      </c>
      <c r="AM13" s="23">
        <v>429</v>
      </c>
      <c r="AN13" s="23">
        <v>440</v>
      </c>
      <c r="AO13" s="63"/>
      <c r="AP13" s="55">
        <f ca="1">(OFFSET(AP13,0,-2)/2)/3.5</f>
        <v>62.857142857142854</v>
      </c>
      <c r="AQ13" s="170"/>
      <c r="AR13" s="167"/>
      <c r="AS13" s="170"/>
      <c r="AT13" s="190"/>
      <c r="AU13" s="60">
        <f t="shared" ca="1" si="1"/>
        <v>435.66666666666669</v>
      </c>
      <c r="AV13" s="60">
        <f t="shared" ca="1" si="0"/>
        <v>4.3333333333333144</v>
      </c>
      <c r="AW13" s="23"/>
      <c r="AX13" s="23"/>
    </row>
    <row r="14" spans="1:53" x14ac:dyDescent="0.3">
      <c r="A14" s="27" t="s">
        <v>22</v>
      </c>
      <c r="B14" s="23"/>
      <c r="C14" s="23"/>
      <c r="D14" s="37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>
        <v>2414</v>
      </c>
      <c r="P14" s="23">
        <v>2504</v>
      </c>
      <c r="Q14" s="23"/>
      <c r="R14" s="23"/>
      <c r="S14" s="93">
        <v>3223</v>
      </c>
      <c r="T14" s="48">
        <v>3223</v>
      </c>
      <c r="U14" s="48">
        <v>3223</v>
      </c>
      <c r="V14" s="48">
        <v>3223</v>
      </c>
      <c r="W14" s="48">
        <v>3223</v>
      </c>
      <c r="X14" s="48">
        <v>2939</v>
      </c>
      <c r="Y14" s="48">
        <v>2819</v>
      </c>
      <c r="Z14" s="48">
        <v>2819</v>
      </c>
      <c r="AA14" s="48">
        <v>2729</v>
      </c>
      <c r="AB14" s="48">
        <v>2729</v>
      </c>
      <c r="AC14" s="48">
        <v>2709</v>
      </c>
      <c r="AD14" s="48">
        <v>2629</v>
      </c>
      <c r="AE14" s="48">
        <v>2629</v>
      </c>
      <c r="AF14" s="48">
        <v>2594</v>
      </c>
      <c r="AG14" s="48">
        <v>2594</v>
      </c>
      <c r="AH14" s="48">
        <v>2594</v>
      </c>
      <c r="AI14" s="48">
        <v>2874</v>
      </c>
      <c r="AJ14" s="48">
        <v>2947</v>
      </c>
      <c r="AK14" s="48">
        <v>2798</v>
      </c>
      <c r="AL14" s="48">
        <v>2562</v>
      </c>
      <c r="AM14" s="48">
        <v>2403</v>
      </c>
      <c r="AN14" s="48">
        <v>3960</v>
      </c>
      <c r="AO14" s="63"/>
      <c r="AP14" s="55"/>
      <c r="AQ14" s="154"/>
      <c r="AR14" s="153">
        <v>0</v>
      </c>
      <c r="AS14" s="154"/>
      <c r="AT14" s="104" t="s">
        <v>23</v>
      </c>
      <c r="AU14" s="60"/>
      <c r="AV14" s="60"/>
      <c r="AW14" s="23"/>
      <c r="AX14" s="23"/>
    </row>
    <row r="15" spans="1:53" x14ac:dyDescent="0.3">
      <c r="A15" s="34" t="s">
        <v>24</v>
      </c>
      <c r="B15" s="35"/>
      <c r="C15" s="35"/>
      <c r="D15" s="36">
        <v>675</v>
      </c>
      <c r="E15" s="35">
        <v>1175</v>
      </c>
      <c r="F15" s="35">
        <v>1175</v>
      </c>
      <c r="G15" s="35">
        <v>1675</v>
      </c>
      <c r="H15" s="35">
        <v>1575</v>
      </c>
      <c r="I15" s="35">
        <v>1575</v>
      </c>
      <c r="J15" s="35">
        <v>1575</v>
      </c>
      <c r="K15" s="35">
        <v>1575</v>
      </c>
      <c r="L15" s="35">
        <v>2750</v>
      </c>
      <c r="M15" s="35">
        <v>2750</v>
      </c>
      <c r="N15" s="35">
        <v>2575</v>
      </c>
      <c r="O15" s="35">
        <v>3950</v>
      </c>
      <c r="P15" s="35">
        <v>3000</v>
      </c>
      <c r="Q15" s="35">
        <v>3975</v>
      </c>
      <c r="R15" s="35">
        <v>3800</v>
      </c>
      <c r="S15" s="35">
        <v>3875</v>
      </c>
      <c r="T15" s="35">
        <v>3875</v>
      </c>
      <c r="U15" s="35">
        <v>3875</v>
      </c>
      <c r="V15" s="35">
        <v>5000</v>
      </c>
      <c r="W15" s="35">
        <v>4900</v>
      </c>
      <c r="X15" s="35">
        <v>4900</v>
      </c>
      <c r="Y15" s="35">
        <v>4900</v>
      </c>
      <c r="Z15" s="35">
        <v>4750</v>
      </c>
      <c r="AA15" s="35">
        <v>5650</v>
      </c>
      <c r="AB15" s="35">
        <v>5950</v>
      </c>
      <c r="AC15" s="35">
        <v>5950</v>
      </c>
      <c r="AD15" s="35">
        <v>5950</v>
      </c>
      <c r="AE15" s="35">
        <v>4025</v>
      </c>
      <c r="AF15" s="35">
        <v>4025</v>
      </c>
      <c r="AG15" s="35">
        <v>4025</v>
      </c>
      <c r="AH15" s="35">
        <v>4025</v>
      </c>
      <c r="AI15" s="35">
        <v>3675</v>
      </c>
      <c r="AJ15" s="35">
        <v>3625</v>
      </c>
      <c r="AK15" s="35">
        <v>3500</v>
      </c>
      <c r="AL15" s="35">
        <v>1050</v>
      </c>
      <c r="AM15" s="35">
        <v>975</v>
      </c>
      <c r="AN15" s="35">
        <v>1625</v>
      </c>
      <c r="AO15" s="35"/>
      <c r="AP15" s="54">
        <f ca="1">(OFFSET(AP15,0,-2)/2)/3</f>
        <v>270.83333333333331</v>
      </c>
      <c r="AQ15" s="163">
        <f ca="1">SUM(AP15:AP18)</f>
        <v>400.83333333333331</v>
      </c>
      <c r="AR15" s="161">
        <v>11</v>
      </c>
      <c r="AS15" s="163">
        <f ca="1">AQ15/AR15</f>
        <v>36.439393939393938</v>
      </c>
      <c r="AT15" s="191" t="s">
        <v>25</v>
      </c>
      <c r="AU15" s="54">
        <f t="shared" ca="1" si="1"/>
        <v>1841.6666666666667</v>
      </c>
      <c r="AV15" s="54">
        <f t="shared" ca="1" si="0"/>
        <v>-216.66666666666674</v>
      </c>
      <c r="AW15" s="35"/>
      <c r="AX15" s="35"/>
    </row>
    <row r="16" spans="1:53" x14ac:dyDescent="0.3">
      <c r="A16" s="34" t="s">
        <v>26</v>
      </c>
      <c r="B16" s="35"/>
      <c r="C16" s="35"/>
      <c r="D16" s="36"/>
      <c r="E16" s="35"/>
      <c r="F16" s="35"/>
      <c r="G16" s="35"/>
      <c r="H16" s="35"/>
      <c r="I16" s="35"/>
      <c r="J16" s="35"/>
      <c r="K16" s="35"/>
      <c r="L16" s="35">
        <v>10</v>
      </c>
      <c r="M16" s="35">
        <v>10</v>
      </c>
      <c r="N16" s="35">
        <v>10</v>
      </c>
      <c r="O16" s="35">
        <v>10</v>
      </c>
      <c r="P16" s="35">
        <v>20</v>
      </c>
      <c r="Q16" s="35">
        <v>20</v>
      </c>
      <c r="R16" s="35">
        <v>438</v>
      </c>
      <c r="S16" s="35">
        <v>438</v>
      </c>
      <c r="T16" s="35">
        <v>438</v>
      </c>
      <c r="U16" s="35">
        <v>438</v>
      </c>
      <c r="V16" s="35">
        <v>438</v>
      </c>
      <c r="W16" s="35">
        <v>438</v>
      </c>
      <c r="X16" s="35">
        <v>438</v>
      </c>
      <c r="Y16" s="35">
        <v>438</v>
      </c>
      <c r="Z16" s="35">
        <v>438</v>
      </c>
      <c r="AA16" s="35">
        <v>438</v>
      </c>
      <c r="AB16" s="35">
        <v>438</v>
      </c>
      <c r="AC16" s="35">
        <v>438</v>
      </c>
      <c r="AD16" s="35">
        <v>438</v>
      </c>
      <c r="AE16" s="35">
        <v>418</v>
      </c>
      <c r="AF16" s="35">
        <v>418</v>
      </c>
      <c r="AG16" s="35">
        <v>418</v>
      </c>
      <c r="AH16" s="35">
        <v>418</v>
      </c>
      <c r="AI16" s="35">
        <v>418</v>
      </c>
      <c r="AJ16" s="35">
        <v>250</v>
      </c>
      <c r="AK16" s="35">
        <v>250</v>
      </c>
      <c r="AL16" s="35">
        <v>250</v>
      </c>
      <c r="AM16" s="35">
        <v>250</v>
      </c>
      <c r="AN16" s="35">
        <v>250</v>
      </c>
      <c r="AO16" s="35"/>
      <c r="AP16" s="54">
        <f ca="1">OFFSET(AP16,0,-2)/3</f>
        <v>83.333333333333329</v>
      </c>
      <c r="AQ16" s="171"/>
      <c r="AR16" s="180"/>
      <c r="AS16" s="171"/>
      <c r="AT16" s="192"/>
      <c r="AU16" s="54">
        <f t="shared" ca="1" si="1"/>
        <v>250</v>
      </c>
      <c r="AV16" s="54">
        <f t="shared" ca="1" si="0"/>
        <v>0</v>
      </c>
      <c r="AW16" s="35"/>
      <c r="AX16" s="35"/>
      <c r="BA16" s="5"/>
    </row>
    <row r="17" spans="1:50" x14ac:dyDescent="0.3">
      <c r="A17" s="34" t="s">
        <v>27</v>
      </c>
      <c r="B17" s="35"/>
      <c r="C17" s="35"/>
      <c r="D17" s="36"/>
      <c r="E17" s="35"/>
      <c r="F17" s="35"/>
      <c r="G17" s="35"/>
      <c r="H17" s="35">
        <v>96</v>
      </c>
      <c r="I17" s="35">
        <v>100</v>
      </c>
      <c r="J17" s="35">
        <v>100</v>
      </c>
      <c r="K17" s="35">
        <v>100</v>
      </c>
      <c r="L17" s="35">
        <v>100</v>
      </c>
      <c r="M17" s="35">
        <v>100</v>
      </c>
      <c r="N17" s="35">
        <v>100</v>
      </c>
      <c r="O17" s="35">
        <v>100</v>
      </c>
      <c r="P17" s="35">
        <v>100</v>
      </c>
      <c r="Q17" s="35">
        <v>100</v>
      </c>
      <c r="R17" s="35">
        <v>100</v>
      </c>
      <c r="S17" s="35">
        <v>100</v>
      </c>
      <c r="T17" s="35">
        <v>100</v>
      </c>
      <c r="U17" s="35">
        <v>124</v>
      </c>
      <c r="V17" s="35">
        <v>124</v>
      </c>
      <c r="W17" s="35">
        <v>124</v>
      </c>
      <c r="X17" s="35">
        <v>124</v>
      </c>
      <c r="Y17" s="35">
        <v>124</v>
      </c>
      <c r="Z17" s="35">
        <v>124</v>
      </c>
      <c r="AA17" s="35">
        <v>124</v>
      </c>
      <c r="AB17" s="35">
        <v>124</v>
      </c>
      <c r="AC17" s="35">
        <v>124</v>
      </c>
      <c r="AD17" s="35">
        <v>124</v>
      </c>
      <c r="AE17" s="35">
        <v>124</v>
      </c>
      <c r="AF17" s="35">
        <v>124</v>
      </c>
      <c r="AG17" s="35">
        <v>124</v>
      </c>
      <c r="AH17" s="35">
        <v>124</v>
      </c>
      <c r="AI17" s="35">
        <v>124</v>
      </c>
      <c r="AJ17" s="35">
        <v>124</v>
      </c>
      <c r="AK17" s="35">
        <v>124</v>
      </c>
      <c r="AL17" s="35">
        <v>136</v>
      </c>
      <c r="AM17" s="35">
        <v>140</v>
      </c>
      <c r="AN17" s="35">
        <v>140</v>
      </c>
      <c r="AO17" s="35"/>
      <c r="AP17" s="54">
        <f ca="1">OFFSET(AP17,0,-2)/3</f>
        <v>46.666666666666664</v>
      </c>
      <c r="AQ17" s="171"/>
      <c r="AR17" s="180"/>
      <c r="AS17" s="171"/>
      <c r="AT17" s="192"/>
      <c r="AU17" s="54">
        <f t="shared" ca="1" si="1"/>
        <v>133.33333333333334</v>
      </c>
      <c r="AV17" s="54">
        <f t="shared" ca="1" si="0"/>
        <v>6.6666666666666572</v>
      </c>
      <c r="AW17" s="35"/>
      <c r="AX17" s="35"/>
    </row>
    <row r="18" spans="1:50" hidden="1" x14ac:dyDescent="0.3">
      <c r="A18" s="100" t="s">
        <v>28</v>
      </c>
      <c r="B18" s="35"/>
      <c r="C18" s="35"/>
      <c r="D18" s="36"/>
      <c r="E18" s="35"/>
      <c r="F18" s="35"/>
      <c r="G18" s="35"/>
      <c r="H18" s="35"/>
      <c r="I18" s="35"/>
      <c r="J18" s="35"/>
      <c r="K18" s="35">
        <v>0</v>
      </c>
      <c r="L18" s="35">
        <v>72</v>
      </c>
      <c r="M18" s="35">
        <v>92</v>
      </c>
      <c r="N18" s="35">
        <v>92</v>
      </c>
      <c r="O18" s="35">
        <v>92</v>
      </c>
      <c r="P18" s="35">
        <v>112</v>
      </c>
      <c r="Q18" s="35">
        <v>112</v>
      </c>
      <c r="R18" s="35">
        <v>112</v>
      </c>
      <c r="S18" s="35">
        <v>112</v>
      </c>
      <c r="T18" s="35">
        <v>112</v>
      </c>
      <c r="U18" s="35">
        <v>112</v>
      </c>
      <c r="V18" s="35">
        <v>112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54">
        <f ca="1">(OFFSET(AP18,0,-2)/2)/4.2</f>
        <v>0</v>
      </c>
      <c r="AQ18" s="164"/>
      <c r="AR18" s="162"/>
      <c r="AS18" s="164"/>
      <c r="AT18" s="193"/>
      <c r="AU18" s="54">
        <f t="shared" ca="1" si="1"/>
        <v>0</v>
      </c>
      <c r="AV18" s="54">
        <f t="shared" ca="1" si="0"/>
        <v>0</v>
      </c>
      <c r="AW18" s="35"/>
      <c r="AX18" s="35"/>
    </row>
    <row r="19" spans="1:50" ht="30" customHeight="1" x14ac:dyDescent="0.3">
      <c r="A19" s="27" t="s">
        <v>29</v>
      </c>
      <c r="B19" s="23"/>
      <c r="C19" s="23"/>
      <c r="D19" s="37">
        <v>429</v>
      </c>
      <c r="E19" s="23">
        <v>409</v>
      </c>
      <c r="F19" s="23">
        <v>389</v>
      </c>
      <c r="G19" s="23">
        <v>419</v>
      </c>
      <c r="H19" s="23">
        <v>399</v>
      </c>
      <c r="I19" s="23">
        <v>399</v>
      </c>
      <c r="J19" s="23">
        <v>389</v>
      </c>
      <c r="K19" s="23">
        <v>409</v>
      </c>
      <c r="L19" s="23">
        <v>489</v>
      </c>
      <c r="M19" s="23">
        <v>919</v>
      </c>
      <c r="N19" s="23">
        <v>889</v>
      </c>
      <c r="O19" s="23">
        <v>889</v>
      </c>
      <c r="P19" s="23">
        <v>939</v>
      </c>
      <c r="Q19" s="23">
        <v>939</v>
      </c>
      <c r="R19" s="23">
        <v>1069</v>
      </c>
      <c r="S19" s="23">
        <v>1549</v>
      </c>
      <c r="T19" s="23">
        <v>1569</v>
      </c>
      <c r="U19" s="23">
        <v>2229</v>
      </c>
      <c r="V19" s="23">
        <v>2229</v>
      </c>
      <c r="W19" s="23">
        <v>2229</v>
      </c>
      <c r="X19" s="23">
        <v>2209</v>
      </c>
      <c r="Y19" s="23">
        <v>2659</v>
      </c>
      <c r="Z19" s="23">
        <v>2639</v>
      </c>
      <c r="AA19" s="23">
        <v>2639</v>
      </c>
      <c r="AB19" s="23">
        <v>2619</v>
      </c>
      <c r="AC19" s="23">
        <v>2619</v>
      </c>
      <c r="AD19" s="23">
        <v>2619</v>
      </c>
      <c r="AE19" s="23">
        <v>2619</v>
      </c>
      <c r="AF19" s="23">
        <v>2599</v>
      </c>
      <c r="AG19" s="23">
        <v>2599</v>
      </c>
      <c r="AH19" s="23">
        <v>2599</v>
      </c>
      <c r="AI19" s="23">
        <v>2599</v>
      </c>
      <c r="AJ19" s="23">
        <v>2839</v>
      </c>
      <c r="AK19" s="23">
        <v>2839</v>
      </c>
      <c r="AL19" s="23">
        <v>2759</v>
      </c>
      <c r="AM19" s="23">
        <v>2759</v>
      </c>
      <c r="AN19" s="23">
        <v>2749</v>
      </c>
      <c r="AO19" s="63"/>
      <c r="AP19" s="55">
        <f ca="1">OFFSET(AP19,0,-2)/2.4</f>
        <v>1145.4166666666667</v>
      </c>
      <c r="AQ19" s="168">
        <f ca="1">SUM(AP19:AP23)</f>
        <v>1278.0833333333335</v>
      </c>
      <c r="AR19" s="165">
        <v>5</v>
      </c>
      <c r="AS19" s="168">
        <f ca="1">AQ19/AR19</f>
        <v>255.6166666666667</v>
      </c>
      <c r="AT19" s="203"/>
      <c r="AU19" s="60">
        <f t="shared" ca="1" si="1"/>
        <v>2785.6666666666665</v>
      </c>
      <c r="AV19" s="60">
        <f t="shared" ca="1" si="0"/>
        <v>-36.666666666666515</v>
      </c>
      <c r="AW19" s="23"/>
      <c r="AX19" s="23"/>
    </row>
    <row r="20" spans="1:50" x14ac:dyDescent="0.3">
      <c r="A20" s="27" t="s">
        <v>30</v>
      </c>
      <c r="B20" s="23"/>
      <c r="C20" s="23"/>
      <c r="D20" s="37">
        <v>74</v>
      </c>
      <c r="E20" s="23">
        <v>74</v>
      </c>
      <c r="F20" s="23">
        <v>74</v>
      </c>
      <c r="G20" s="23">
        <v>64</v>
      </c>
      <c r="H20" s="23">
        <v>64</v>
      </c>
      <c r="I20" s="23">
        <v>60</v>
      </c>
      <c r="J20" s="23">
        <v>60</v>
      </c>
      <c r="K20" s="23">
        <v>60</v>
      </c>
      <c r="L20" s="23">
        <v>45</v>
      </c>
      <c r="M20" s="23">
        <v>195</v>
      </c>
      <c r="N20" s="23">
        <v>185</v>
      </c>
      <c r="O20" s="23">
        <v>185</v>
      </c>
      <c r="P20" s="23">
        <v>185</v>
      </c>
      <c r="Q20" s="23">
        <v>185</v>
      </c>
      <c r="R20" s="23">
        <v>185</v>
      </c>
      <c r="S20" s="23">
        <v>185</v>
      </c>
      <c r="T20" s="23">
        <v>185</v>
      </c>
      <c r="U20" s="23">
        <v>180</v>
      </c>
      <c r="V20" s="23">
        <v>180</v>
      </c>
      <c r="W20" s="23">
        <v>180</v>
      </c>
      <c r="X20" s="23">
        <v>180</v>
      </c>
      <c r="Y20" s="23">
        <v>180</v>
      </c>
      <c r="Z20" s="23">
        <v>180</v>
      </c>
      <c r="AA20" s="23">
        <v>180</v>
      </c>
      <c r="AB20" s="23">
        <v>180</v>
      </c>
      <c r="AC20" s="23">
        <v>170</v>
      </c>
      <c r="AD20" s="23">
        <v>170</v>
      </c>
      <c r="AE20" s="23">
        <v>170</v>
      </c>
      <c r="AF20" s="23">
        <v>270</v>
      </c>
      <c r="AG20" s="23">
        <v>270</v>
      </c>
      <c r="AH20" s="23">
        <v>270</v>
      </c>
      <c r="AI20" s="23">
        <v>270</v>
      </c>
      <c r="AJ20" s="23">
        <v>270</v>
      </c>
      <c r="AK20" s="23">
        <v>254</v>
      </c>
      <c r="AL20" s="23">
        <v>244</v>
      </c>
      <c r="AM20" s="23">
        <v>244</v>
      </c>
      <c r="AN20" s="23">
        <v>237</v>
      </c>
      <c r="AO20" s="63"/>
      <c r="AP20" s="55">
        <f ca="1">(OFFSET(AP20,0,-2)/10)/2.4</f>
        <v>9.875</v>
      </c>
      <c r="AQ20" s="169"/>
      <c r="AR20" s="166"/>
      <c r="AS20" s="169"/>
      <c r="AT20" s="204"/>
      <c r="AU20" s="60">
        <f t="shared" ca="1" si="1"/>
        <v>247.33333333333334</v>
      </c>
      <c r="AV20" s="60">
        <f t="shared" ca="1" si="0"/>
        <v>-10.333333333333343</v>
      </c>
      <c r="AW20" s="23"/>
      <c r="AX20" s="23"/>
    </row>
    <row r="21" spans="1:50" x14ac:dyDescent="0.3">
      <c r="A21" s="27" t="s">
        <v>31</v>
      </c>
      <c r="B21" s="23"/>
      <c r="C21" s="23"/>
      <c r="D21" s="37">
        <v>976</v>
      </c>
      <c r="E21" s="23">
        <v>976</v>
      </c>
      <c r="F21" s="23">
        <v>960</v>
      </c>
      <c r="G21" s="23">
        <v>940</v>
      </c>
      <c r="H21" s="23">
        <v>2065</v>
      </c>
      <c r="I21" s="23">
        <v>2065</v>
      </c>
      <c r="J21" s="23">
        <v>2065</v>
      </c>
      <c r="K21" s="23">
        <v>2135</v>
      </c>
      <c r="L21" s="23">
        <v>2155</v>
      </c>
      <c r="M21" s="23">
        <v>2185</v>
      </c>
      <c r="N21" s="23">
        <v>2175</v>
      </c>
      <c r="O21" s="23">
        <v>2145</v>
      </c>
      <c r="P21" s="23">
        <v>2167</v>
      </c>
      <c r="Q21" s="23">
        <v>2167</v>
      </c>
      <c r="R21" s="23">
        <v>2167</v>
      </c>
      <c r="S21" s="23">
        <v>2156</v>
      </c>
      <c r="T21" s="23">
        <v>2356</v>
      </c>
      <c r="U21" s="23">
        <v>2346</v>
      </c>
      <c r="V21" s="23">
        <v>2346</v>
      </c>
      <c r="W21" s="23">
        <v>2346</v>
      </c>
      <c r="X21" s="23">
        <v>2346</v>
      </c>
      <c r="Y21" s="23">
        <v>2336</v>
      </c>
      <c r="Z21" s="23">
        <v>2336</v>
      </c>
      <c r="AA21" s="23">
        <v>2324</v>
      </c>
      <c r="AB21" s="23">
        <v>2324</v>
      </c>
      <c r="AC21" s="23">
        <v>2255</v>
      </c>
      <c r="AD21" s="23">
        <v>2255</v>
      </c>
      <c r="AE21" s="23">
        <v>2245</v>
      </c>
      <c r="AF21" s="23">
        <v>2245</v>
      </c>
      <c r="AG21" s="23">
        <v>2235</v>
      </c>
      <c r="AH21" s="23">
        <v>2215</v>
      </c>
      <c r="AI21" s="23">
        <v>2185</v>
      </c>
      <c r="AJ21" s="23">
        <v>2125</v>
      </c>
      <c r="AK21" s="23">
        <v>2105</v>
      </c>
      <c r="AL21" s="23">
        <v>2056</v>
      </c>
      <c r="AM21" s="23">
        <v>2056</v>
      </c>
      <c r="AN21" s="23">
        <v>1955</v>
      </c>
      <c r="AO21" s="63"/>
      <c r="AP21" s="55">
        <f ca="1">(OFFSET(AP21,0,-2)/10)/2.4</f>
        <v>81.458333333333343</v>
      </c>
      <c r="AQ21" s="169"/>
      <c r="AR21" s="166"/>
      <c r="AS21" s="169"/>
      <c r="AT21" s="204"/>
      <c r="AU21" s="60">
        <f t="shared" ca="1" si="1"/>
        <v>2072.3333333333335</v>
      </c>
      <c r="AV21" s="60">
        <f t="shared" ca="1" si="0"/>
        <v>-117.33333333333348</v>
      </c>
      <c r="AW21" s="23"/>
      <c r="AX21" s="23"/>
    </row>
    <row r="22" spans="1:50" x14ac:dyDescent="0.3">
      <c r="A22" s="27" t="s">
        <v>32</v>
      </c>
      <c r="B22" s="23"/>
      <c r="C22" s="23"/>
      <c r="D22" s="37">
        <v>715</v>
      </c>
      <c r="E22" s="23">
        <v>715</v>
      </c>
      <c r="F22" s="23">
        <v>715</v>
      </c>
      <c r="G22" s="23">
        <v>520</v>
      </c>
      <c r="H22" s="23">
        <v>520</v>
      </c>
      <c r="I22" s="23">
        <v>520</v>
      </c>
      <c r="J22" s="23">
        <v>520</v>
      </c>
      <c r="K22" s="23">
        <v>880</v>
      </c>
      <c r="L22" s="23">
        <v>1270</v>
      </c>
      <c r="M22" s="23">
        <v>1245</v>
      </c>
      <c r="N22" s="23">
        <v>1230</v>
      </c>
      <c r="O22" s="23">
        <v>1200</v>
      </c>
      <c r="P22" s="23">
        <v>1190</v>
      </c>
      <c r="Q22" s="23">
        <v>1141</v>
      </c>
      <c r="R22" s="23">
        <v>1141</v>
      </c>
      <c r="S22" s="23">
        <v>991</v>
      </c>
      <c r="T22" s="23">
        <v>1081</v>
      </c>
      <c r="U22" s="23">
        <v>1071</v>
      </c>
      <c r="V22" s="23">
        <v>1046</v>
      </c>
      <c r="W22" s="23">
        <v>1046</v>
      </c>
      <c r="X22" s="23">
        <v>846</v>
      </c>
      <c r="Y22" s="23">
        <v>846</v>
      </c>
      <c r="Z22" s="23">
        <v>821</v>
      </c>
      <c r="AA22" s="23">
        <v>746</v>
      </c>
      <c r="AB22" s="23">
        <v>746</v>
      </c>
      <c r="AC22" s="23">
        <v>746</v>
      </c>
      <c r="AD22" s="23">
        <v>746</v>
      </c>
      <c r="AE22" s="23">
        <v>671</v>
      </c>
      <c r="AF22" s="23">
        <v>671</v>
      </c>
      <c r="AG22" s="23">
        <v>621</v>
      </c>
      <c r="AH22" s="23">
        <v>1046</v>
      </c>
      <c r="AI22" s="23">
        <v>885</v>
      </c>
      <c r="AJ22" s="23">
        <v>885</v>
      </c>
      <c r="AK22" s="23">
        <v>515</v>
      </c>
      <c r="AL22" s="23">
        <v>1105</v>
      </c>
      <c r="AM22" s="23">
        <v>1105</v>
      </c>
      <c r="AN22" s="23">
        <v>730</v>
      </c>
      <c r="AO22" s="63"/>
      <c r="AP22" s="55">
        <f ca="1">(OFFSET(AP22,0,-2)/25)/2.4</f>
        <v>12.166666666666666</v>
      </c>
      <c r="AQ22" s="169"/>
      <c r="AR22" s="166"/>
      <c r="AS22" s="169"/>
      <c r="AT22" s="204"/>
      <c r="AU22" s="60">
        <f t="shared" ca="1" si="1"/>
        <v>908.33333333333337</v>
      </c>
      <c r="AV22" s="60">
        <f t="shared" ca="1" si="0"/>
        <v>-178.33333333333337</v>
      </c>
      <c r="AW22" s="23"/>
      <c r="AX22" s="23"/>
    </row>
    <row r="23" spans="1:50" hidden="1" x14ac:dyDescent="0.3">
      <c r="A23" s="99" t="s">
        <v>33</v>
      </c>
      <c r="B23" s="23"/>
      <c r="C23" s="23"/>
      <c r="D23" s="37"/>
      <c r="E23" s="23"/>
      <c r="F23" s="23"/>
      <c r="G23" s="23"/>
      <c r="H23" s="23"/>
      <c r="I23" s="23"/>
      <c r="J23" s="23"/>
      <c r="K23" s="23"/>
      <c r="L23" s="23"/>
      <c r="M23" s="23"/>
      <c r="N23" s="23">
        <v>150</v>
      </c>
      <c r="O23" s="23">
        <v>150</v>
      </c>
      <c r="P23" s="23">
        <v>150</v>
      </c>
      <c r="Q23" s="23">
        <v>150</v>
      </c>
      <c r="R23" s="23">
        <v>150</v>
      </c>
      <c r="S23" s="23">
        <v>150</v>
      </c>
      <c r="T23" s="23">
        <v>150</v>
      </c>
      <c r="U23" s="23">
        <v>150</v>
      </c>
      <c r="V23" s="23">
        <v>150</v>
      </c>
      <c r="W23" s="23">
        <v>150</v>
      </c>
      <c r="X23" s="23">
        <v>150</v>
      </c>
      <c r="Y23" s="23">
        <v>150</v>
      </c>
      <c r="Z23" s="23">
        <v>150</v>
      </c>
      <c r="AA23" s="23">
        <v>150</v>
      </c>
      <c r="AB23" s="23">
        <v>150</v>
      </c>
      <c r="AC23" s="23">
        <v>150</v>
      </c>
      <c r="AD23" s="23">
        <v>150</v>
      </c>
      <c r="AE23" s="23">
        <v>150</v>
      </c>
      <c r="AF23" s="23">
        <v>150</v>
      </c>
      <c r="AG23" s="23">
        <v>150</v>
      </c>
      <c r="AH23" s="23">
        <v>150</v>
      </c>
      <c r="AI23" s="23">
        <v>130</v>
      </c>
      <c r="AJ23" s="23">
        <v>130</v>
      </c>
      <c r="AK23" s="23">
        <v>110</v>
      </c>
      <c r="AL23" s="23">
        <v>90</v>
      </c>
      <c r="AM23" s="23">
        <v>90</v>
      </c>
      <c r="AN23" s="23">
        <v>70</v>
      </c>
      <c r="AO23" s="63"/>
      <c r="AP23" s="55">
        <f ca="1">OFFSET(AP23,0,-2)/2.4</f>
        <v>29.166666666666668</v>
      </c>
      <c r="AQ23" s="170"/>
      <c r="AR23" s="167"/>
      <c r="AS23" s="170"/>
      <c r="AT23" s="205"/>
      <c r="AU23" s="60"/>
      <c r="AV23" s="60"/>
      <c r="AW23" s="23"/>
      <c r="AX23" s="23"/>
    </row>
    <row r="24" spans="1:50" x14ac:dyDescent="0.3">
      <c r="A24" s="39" t="s">
        <v>34</v>
      </c>
      <c r="B24" s="25"/>
      <c r="C24" s="25"/>
      <c r="D24" s="40">
        <v>100</v>
      </c>
      <c r="E24" s="25">
        <v>390</v>
      </c>
      <c r="F24" s="25">
        <v>390</v>
      </c>
      <c r="G24" s="25">
        <v>390</v>
      </c>
      <c r="H24" s="25">
        <v>390</v>
      </c>
      <c r="I24" s="25">
        <v>390</v>
      </c>
      <c r="J24" s="25">
        <v>390</v>
      </c>
      <c r="K24" s="25">
        <v>390</v>
      </c>
      <c r="L24" s="25">
        <v>390</v>
      </c>
      <c r="M24" s="25">
        <v>390</v>
      </c>
      <c r="N24" s="25">
        <v>390</v>
      </c>
      <c r="O24" s="25">
        <v>390</v>
      </c>
      <c r="P24" s="25">
        <v>390</v>
      </c>
      <c r="Q24" s="25">
        <v>390</v>
      </c>
      <c r="R24" s="25">
        <v>390</v>
      </c>
      <c r="S24" s="25">
        <v>390</v>
      </c>
      <c r="T24" s="25">
        <v>390</v>
      </c>
      <c r="U24" s="25">
        <v>390</v>
      </c>
      <c r="V24" s="25">
        <v>390</v>
      </c>
      <c r="W24" s="25">
        <v>390</v>
      </c>
      <c r="X24" s="25">
        <v>390</v>
      </c>
      <c r="Y24" s="25">
        <v>380</v>
      </c>
      <c r="Z24" s="25">
        <v>380</v>
      </c>
      <c r="AA24" s="25">
        <v>380</v>
      </c>
      <c r="AB24" s="25">
        <v>380</v>
      </c>
      <c r="AC24" s="25">
        <v>380</v>
      </c>
      <c r="AD24" s="25">
        <v>380</v>
      </c>
      <c r="AE24" s="25">
        <v>380</v>
      </c>
      <c r="AF24" s="25">
        <v>380</v>
      </c>
      <c r="AG24" s="25">
        <v>380</v>
      </c>
      <c r="AH24" s="25">
        <v>380</v>
      </c>
      <c r="AI24" s="25">
        <v>380</v>
      </c>
      <c r="AJ24" s="25">
        <v>380</v>
      </c>
      <c r="AK24" s="25">
        <v>380</v>
      </c>
      <c r="AL24" s="25">
        <v>380</v>
      </c>
      <c r="AM24" s="25">
        <v>380</v>
      </c>
      <c r="AN24" s="25">
        <v>380</v>
      </c>
      <c r="AO24" s="35"/>
      <c r="AP24" s="56">
        <f ca="1">OFFSET(AP24,0,-2)/4</f>
        <v>95</v>
      </c>
      <c r="AQ24" s="56">
        <f ca="1">AP24</f>
        <v>95</v>
      </c>
      <c r="AR24" s="19">
        <v>0</v>
      </c>
      <c r="AS24" s="56" t="e">
        <f ca="1">AQ24/AR24</f>
        <v>#DIV/0!</v>
      </c>
      <c r="AT24" s="103"/>
      <c r="AU24" s="54">
        <f t="shared" ca="1" si="1"/>
        <v>380</v>
      </c>
      <c r="AV24" s="54">
        <f t="shared" ca="1" si="0"/>
        <v>0</v>
      </c>
      <c r="AW24" s="35"/>
      <c r="AX24" s="25"/>
    </row>
    <row r="25" spans="1:50" x14ac:dyDescent="0.3">
      <c r="A25" s="27" t="s">
        <v>35</v>
      </c>
      <c r="B25" s="23"/>
      <c r="C25" s="23"/>
      <c r="D25" s="37">
        <v>1006</v>
      </c>
      <c r="E25" s="23">
        <v>1006</v>
      </c>
      <c r="F25" s="23">
        <v>986</v>
      </c>
      <c r="G25" s="23">
        <v>984</v>
      </c>
      <c r="H25" s="23">
        <v>984</v>
      </c>
      <c r="I25" s="23">
        <v>964</v>
      </c>
      <c r="J25" s="23">
        <v>958</v>
      </c>
      <c r="K25" s="23">
        <v>958</v>
      </c>
      <c r="L25" s="23">
        <v>958</v>
      </c>
      <c r="M25" s="23">
        <v>958</v>
      </c>
      <c r="N25" s="23">
        <v>957</v>
      </c>
      <c r="O25" s="23">
        <v>955</v>
      </c>
      <c r="P25" s="23">
        <v>955</v>
      </c>
      <c r="Q25" s="23">
        <v>955</v>
      </c>
      <c r="R25" s="23">
        <v>955</v>
      </c>
      <c r="S25" s="23">
        <v>954</v>
      </c>
      <c r="T25" s="23">
        <v>950</v>
      </c>
      <c r="U25" s="23">
        <v>945</v>
      </c>
      <c r="V25" s="23">
        <v>926</v>
      </c>
      <c r="W25" s="23">
        <v>900</v>
      </c>
      <c r="X25" s="23">
        <v>858</v>
      </c>
      <c r="Y25" s="23">
        <v>858</v>
      </c>
      <c r="Z25" s="23">
        <v>858</v>
      </c>
      <c r="AA25" s="23">
        <v>856</v>
      </c>
      <c r="AB25" s="23">
        <v>856</v>
      </c>
      <c r="AC25" s="23">
        <v>856</v>
      </c>
      <c r="AD25" s="23">
        <v>854</v>
      </c>
      <c r="AE25" s="23">
        <v>854</v>
      </c>
      <c r="AF25" s="23">
        <v>850</v>
      </c>
      <c r="AG25" s="23">
        <v>846</v>
      </c>
      <c r="AH25" s="23">
        <v>847</v>
      </c>
      <c r="AI25" s="23">
        <v>839</v>
      </c>
      <c r="AJ25" s="23">
        <v>836</v>
      </c>
      <c r="AK25" s="23">
        <v>832</v>
      </c>
      <c r="AL25" s="23">
        <v>810</v>
      </c>
      <c r="AM25" s="23">
        <v>810</v>
      </c>
      <c r="AN25" s="23">
        <v>807</v>
      </c>
      <c r="AO25" s="63"/>
      <c r="AP25" s="55">
        <f ca="1">(OFFSET(AP25,0,-2)/5)/4</f>
        <v>40.35</v>
      </c>
      <c r="AQ25" s="168">
        <f ca="1">SUM(AP25:AP26)</f>
        <v>40.35</v>
      </c>
      <c r="AR25" s="165">
        <v>2</v>
      </c>
      <c r="AS25" s="168">
        <f ca="1">AQ25/AR25</f>
        <v>20.175000000000001</v>
      </c>
      <c r="AT25" s="189" t="s">
        <v>36</v>
      </c>
      <c r="AU25" s="60">
        <f t="shared" ca="1" si="1"/>
        <v>817.33333333333337</v>
      </c>
      <c r="AV25" s="60">
        <f t="shared" ca="1" si="0"/>
        <v>-10.333333333333371</v>
      </c>
      <c r="AW25" s="23"/>
      <c r="AX25" s="23"/>
    </row>
    <row r="26" spans="1:50" x14ac:dyDescent="0.3">
      <c r="A26" s="27" t="s">
        <v>37</v>
      </c>
      <c r="B26" s="23"/>
      <c r="C26" s="23"/>
      <c r="D26" s="37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63"/>
      <c r="AP26" s="55">
        <f ca="1">(OFFSET(AP26,0,-2)/5)/4</f>
        <v>0</v>
      </c>
      <c r="AQ26" s="170"/>
      <c r="AR26" s="167"/>
      <c r="AS26" s="170"/>
      <c r="AT26" s="190"/>
      <c r="AU26" s="60">
        <f t="shared" ca="1" si="1"/>
        <v>0</v>
      </c>
      <c r="AV26" s="60">
        <f t="shared" ca="1" si="0"/>
        <v>0</v>
      </c>
      <c r="AW26" s="23"/>
      <c r="AX26" s="23"/>
    </row>
    <row r="27" spans="1:50" s="114" customFormat="1" hidden="1" x14ac:dyDescent="0.3">
      <c r="A27" s="115" t="s">
        <v>38</v>
      </c>
      <c r="B27" s="116"/>
      <c r="C27" s="116"/>
      <c r="D27" s="117">
        <v>109</v>
      </c>
      <c r="E27" s="116">
        <v>209</v>
      </c>
      <c r="F27" s="116">
        <v>209</v>
      </c>
      <c r="G27" s="116">
        <v>234</v>
      </c>
      <c r="H27" s="116">
        <v>234</v>
      </c>
      <c r="I27" s="116">
        <v>234</v>
      </c>
      <c r="J27" s="116">
        <v>234</v>
      </c>
      <c r="K27" s="116">
        <v>234</v>
      </c>
      <c r="L27" s="116">
        <v>234</v>
      </c>
      <c r="M27" s="116">
        <v>234</v>
      </c>
      <c r="N27" s="116">
        <v>234</v>
      </c>
      <c r="O27" s="116">
        <v>234</v>
      </c>
      <c r="P27" s="116">
        <v>234</v>
      </c>
      <c r="Q27" s="116">
        <v>234</v>
      </c>
      <c r="R27" s="116">
        <v>234</v>
      </c>
      <c r="S27" s="116">
        <v>234</v>
      </c>
      <c r="T27" s="116">
        <v>234</v>
      </c>
      <c r="U27" s="116">
        <v>234</v>
      </c>
      <c r="V27" s="116">
        <v>234</v>
      </c>
      <c r="W27" s="116">
        <v>234</v>
      </c>
      <c r="X27" s="116">
        <v>234</v>
      </c>
      <c r="Y27" s="116">
        <v>234</v>
      </c>
      <c r="Z27" s="116">
        <v>234</v>
      </c>
      <c r="AA27" s="116">
        <v>234</v>
      </c>
      <c r="AB27" s="116">
        <v>234</v>
      </c>
      <c r="AC27" s="116">
        <v>234</v>
      </c>
      <c r="AD27" s="116">
        <v>234</v>
      </c>
      <c r="AE27" s="116">
        <v>234</v>
      </c>
      <c r="AF27" s="116">
        <v>234</v>
      </c>
      <c r="AG27" s="116">
        <v>234</v>
      </c>
      <c r="AH27" s="116">
        <v>234</v>
      </c>
      <c r="AI27" s="116">
        <v>234</v>
      </c>
      <c r="AJ27" s="116">
        <v>209</v>
      </c>
      <c r="AK27" s="116">
        <v>209</v>
      </c>
      <c r="AL27" s="116">
        <v>209</v>
      </c>
      <c r="AM27" s="116">
        <v>209</v>
      </c>
      <c r="AN27" s="116">
        <v>209</v>
      </c>
      <c r="AO27" s="118"/>
      <c r="AP27" s="119">
        <f ca="1">OFFSET(AP27,0,-2)/37</f>
        <v>5.6486486486486482</v>
      </c>
      <c r="AQ27" s="174">
        <f ca="1">SUM(AP27:AP28)</f>
        <v>5.6486486486486482</v>
      </c>
      <c r="AR27" s="206">
        <v>0</v>
      </c>
      <c r="AS27" s="174" t="e">
        <f ca="1">AQ27/AR27</f>
        <v>#DIV/0!</v>
      </c>
      <c r="AT27" s="194"/>
      <c r="AU27" s="122">
        <f t="shared" ca="1" si="1"/>
        <v>209</v>
      </c>
      <c r="AV27" s="122">
        <f t="shared" ca="1" si="0"/>
        <v>0</v>
      </c>
      <c r="AW27" s="118"/>
      <c r="AX27" s="116"/>
    </row>
    <row r="28" spans="1:50" s="114" customFormat="1" hidden="1" x14ac:dyDescent="0.3">
      <c r="A28" s="115" t="s">
        <v>39</v>
      </c>
      <c r="B28" s="116"/>
      <c r="C28" s="116"/>
      <c r="D28" s="117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8"/>
      <c r="AP28" s="119">
        <f ca="1">OFFSET(AP28,0,-2)/74</f>
        <v>0</v>
      </c>
      <c r="AQ28" s="175"/>
      <c r="AR28" s="207"/>
      <c r="AS28" s="175"/>
      <c r="AT28" s="195"/>
      <c r="AU28" s="122">
        <f t="shared" ca="1" si="1"/>
        <v>0</v>
      </c>
      <c r="AV28" s="122">
        <f t="shared" ca="1" si="0"/>
        <v>0</v>
      </c>
      <c r="AW28" s="118"/>
      <c r="AX28" s="116"/>
    </row>
    <row r="29" spans="1:50" s="114" customFormat="1" hidden="1" x14ac:dyDescent="0.3">
      <c r="A29" s="106" t="s">
        <v>40</v>
      </c>
      <c r="B29" s="107"/>
      <c r="C29" s="107"/>
      <c r="D29" s="108"/>
      <c r="E29" s="107"/>
      <c r="F29" s="107">
        <v>25</v>
      </c>
      <c r="G29" s="107">
        <v>22</v>
      </c>
      <c r="H29" s="107">
        <v>22</v>
      </c>
      <c r="I29" s="107">
        <v>22</v>
      </c>
      <c r="J29" s="107">
        <v>22</v>
      </c>
      <c r="K29" s="107">
        <v>22</v>
      </c>
      <c r="L29" s="107">
        <v>22</v>
      </c>
      <c r="M29" s="107">
        <v>22</v>
      </c>
      <c r="N29" s="107">
        <v>22</v>
      </c>
      <c r="O29" s="107">
        <v>22</v>
      </c>
      <c r="P29" s="107">
        <v>22</v>
      </c>
      <c r="Q29" s="107">
        <v>22</v>
      </c>
      <c r="R29" s="107">
        <v>22</v>
      </c>
      <c r="S29" s="107">
        <v>22</v>
      </c>
      <c r="T29" s="107">
        <v>22</v>
      </c>
      <c r="U29" s="107">
        <v>22</v>
      </c>
      <c r="V29" s="107">
        <v>22</v>
      </c>
      <c r="W29" s="107">
        <v>22</v>
      </c>
      <c r="X29" s="107">
        <v>22</v>
      </c>
      <c r="Y29" s="107">
        <v>22</v>
      </c>
      <c r="Z29" s="107">
        <v>22</v>
      </c>
      <c r="AA29" s="107">
        <v>22</v>
      </c>
      <c r="AB29" s="107">
        <v>22</v>
      </c>
      <c r="AC29" s="107">
        <v>22</v>
      </c>
      <c r="AD29" s="107">
        <v>22</v>
      </c>
      <c r="AE29" s="107">
        <v>22</v>
      </c>
      <c r="AF29" s="107">
        <v>22</v>
      </c>
      <c r="AG29" s="107">
        <v>22</v>
      </c>
      <c r="AH29" s="107">
        <v>22</v>
      </c>
      <c r="AI29" s="107">
        <v>21</v>
      </c>
      <c r="AJ29" s="107">
        <v>21</v>
      </c>
      <c r="AK29" s="107">
        <v>21</v>
      </c>
      <c r="AL29" s="107">
        <v>21</v>
      </c>
      <c r="AM29" s="107">
        <v>18</v>
      </c>
      <c r="AN29" s="107">
        <v>18</v>
      </c>
      <c r="AO29" s="109"/>
      <c r="AP29" s="110">
        <f ca="1">OFFSET(AP29,0,-2)/5</f>
        <v>3.6</v>
      </c>
      <c r="AQ29" s="176">
        <f ca="1">SUM(AP29:AP30)</f>
        <v>3.6</v>
      </c>
      <c r="AR29" s="208">
        <v>0</v>
      </c>
      <c r="AS29" s="176" t="e">
        <f ca="1">AQ29/AR29</f>
        <v>#DIV/0!</v>
      </c>
      <c r="AT29" s="196" t="s">
        <v>41</v>
      </c>
      <c r="AU29" s="113">
        <f t="shared" ca="1" si="1"/>
        <v>20</v>
      </c>
      <c r="AV29" s="113">
        <f t="shared" ca="1" si="0"/>
        <v>-2</v>
      </c>
      <c r="AW29" s="107"/>
      <c r="AX29" s="107"/>
    </row>
    <row r="30" spans="1:50" s="114" customFormat="1" hidden="1" x14ac:dyDescent="0.3">
      <c r="A30" s="106" t="s">
        <v>42</v>
      </c>
      <c r="B30" s="107"/>
      <c r="C30" s="107"/>
      <c r="D30" s="108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9"/>
      <c r="AP30" s="110">
        <f ca="1">OFFSET(AP30,0,-2)/2</f>
        <v>0</v>
      </c>
      <c r="AQ30" s="177"/>
      <c r="AR30" s="209"/>
      <c r="AS30" s="177"/>
      <c r="AT30" s="197"/>
      <c r="AU30" s="113">
        <f t="shared" ca="1" si="1"/>
        <v>0</v>
      </c>
      <c r="AV30" s="113">
        <f t="shared" ca="1" si="0"/>
        <v>0</v>
      </c>
      <c r="AW30" s="107"/>
      <c r="AX30" s="107"/>
    </row>
    <row r="31" spans="1:50" ht="21" x14ac:dyDescent="0.4">
      <c r="A31" s="31" t="s">
        <v>43</v>
      </c>
      <c r="B31" s="23"/>
      <c r="C31" s="23"/>
      <c r="D31" s="41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51"/>
      <c r="AP31" s="53"/>
      <c r="AQ31" s="57"/>
      <c r="AR31" s="20">
        <v>1</v>
      </c>
      <c r="AS31" s="57"/>
      <c r="AT31" s="102"/>
      <c r="AU31" s="61"/>
      <c r="AV31" s="61"/>
      <c r="AW31" s="24"/>
      <c r="AX31" s="24"/>
    </row>
    <row r="32" spans="1:50" x14ac:dyDescent="0.3">
      <c r="A32" s="34" t="s">
        <v>44</v>
      </c>
      <c r="B32" s="35"/>
      <c r="C32" s="35"/>
      <c r="D32" s="36">
        <v>395</v>
      </c>
      <c r="E32" s="35">
        <v>1099</v>
      </c>
      <c r="F32" s="35">
        <v>1099</v>
      </c>
      <c r="G32" s="35">
        <v>1121</v>
      </c>
      <c r="H32" s="35">
        <v>1291</v>
      </c>
      <c r="I32" s="35">
        <v>1291</v>
      </c>
      <c r="J32" s="35">
        <v>1291</v>
      </c>
      <c r="K32" s="35">
        <v>1471</v>
      </c>
      <c r="L32" s="35">
        <v>2551</v>
      </c>
      <c r="M32" s="35">
        <v>2741</v>
      </c>
      <c r="N32" s="35">
        <v>2751</v>
      </c>
      <c r="O32" s="35">
        <v>3271</v>
      </c>
      <c r="P32" s="35">
        <v>3501</v>
      </c>
      <c r="Q32" s="35">
        <v>4001</v>
      </c>
      <c r="R32" s="35">
        <v>4001</v>
      </c>
      <c r="S32" s="35">
        <v>4831</v>
      </c>
      <c r="T32" s="35">
        <v>4831</v>
      </c>
      <c r="U32" s="35">
        <v>5321</v>
      </c>
      <c r="V32" s="35">
        <v>5271</v>
      </c>
      <c r="W32" s="35">
        <v>5271</v>
      </c>
      <c r="X32" s="35">
        <v>5271</v>
      </c>
      <c r="Y32" s="35">
        <v>5271</v>
      </c>
      <c r="Z32" s="35">
        <v>5271</v>
      </c>
      <c r="AA32" s="35">
        <v>5271</v>
      </c>
      <c r="AB32" s="35">
        <v>5271</v>
      </c>
      <c r="AC32" s="35">
        <v>5271</v>
      </c>
      <c r="AD32" s="35">
        <v>5271</v>
      </c>
      <c r="AE32" s="35">
        <v>5271</v>
      </c>
      <c r="AF32" s="35">
        <v>2131</v>
      </c>
      <c r="AG32" s="35">
        <v>2131</v>
      </c>
      <c r="AH32" s="35">
        <v>2131</v>
      </c>
      <c r="AI32" s="35">
        <v>2101</v>
      </c>
      <c r="AJ32" s="35">
        <v>1960</v>
      </c>
      <c r="AK32" s="35">
        <v>1702</v>
      </c>
      <c r="AL32" s="35">
        <v>1626</v>
      </c>
      <c r="AM32" s="35">
        <v>1597</v>
      </c>
      <c r="AN32" s="35">
        <v>1615</v>
      </c>
      <c r="AO32" s="35"/>
      <c r="AP32" s="54">
        <f ca="1">(OFFSET(AP32,0,-2)/5)/1.5</f>
        <v>215.33333333333334</v>
      </c>
      <c r="AQ32" s="163">
        <f ca="1">SUM(AP32:AP33)</f>
        <v>356.66666666666669</v>
      </c>
      <c r="AR32" s="161">
        <v>0</v>
      </c>
      <c r="AS32" s="163" t="e">
        <f ca="1">AQ32/AR32</f>
        <v>#DIV/0!</v>
      </c>
      <c r="AT32" s="198" t="s">
        <v>45</v>
      </c>
      <c r="AU32" s="54">
        <f ca="1">(OFFSET(AU32,0,-8)+OFFSET(AU32,0,-9)+OFFSET(AU32,0,-10))/3</f>
        <v>1641.6666666666667</v>
      </c>
      <c r="AV32" s="54">
        <f ca="1">(OFFSET(AV32,0,-8))-(OFFSET(AV32,0,-1))</f>
        <v>-26.666666666666742</v>
      </c>
      <c r="AW32" s="35"/>
      <c r="AX32" s="35"/>
    </row>
    <row r="33" spans="1:50" x14ac:dyDescent="0.3">
      <c r="A33" s="34" t="s">
        <v>46</v>
      </c>
      <c r="B33" s="35"/>
      <c r="C33" s="35"/>
      <c r="D33" s="36"/>
      <c r="E33" s="35">
        <v>0</v>
      </c>
      <c r="F33" s="35">
        <v>0</v>
      </c>
      <c r="G33" s="35">
        <v>0</v>
      </c>
      <c r="H33" s="35">
        <v>100</v>
      </c>
      <c r="I33" s="35">
        <v>100</v>
      </c>
      <c r="J33" s="35">
        <v>100</v>
      </c>
      <c r="K33" s="35">
        <v>100</v>
      </c>
      <c r="L33" s="35">
        <v>610</v>
      </c>
      <c r="M33" s="35">
        <v>740</v>
      </c>
      <c r="N33" s="35">
        <v>740</v>
      </c>
      <c r="O33" s="35">
        <v>740</v>
      </c>
      <c r="P33" s="35">
        <v>760</v>
      </c>
      <c r="Q33" s="35">
        <v>760</v>
      </c>
      <c r="R33" s="35">
        <v>760</v>
      </c>
      <c r="S33" s="35">
        <v>760</v>
      </c>
      <c r="T33" s="35">
        <v>810</v>
      </c>
      <c r="U33" s="35">
        <v>1260</v>
      </c>
      <c r="V33" s="35">
        <v>1260</v>
      </c>
      <c r="W33" s="35">
        <v>1260</v>
      </c>
      <c r="X33" s="35">
        <v>1260</v>
      </c>
      <c r="Y33" s="35">
        <v>1260</v>
      </c>
      <c r="Z33" s="35">
        <v>1260</v>
      </c>
      <c r="AA33" s="35">
        <v>1260</v>
      </c>
      <c r="AB33" s="35">
        <v>1260</v>
      </c>
      <c r="AC33" s="35">
        <v>1260</v>
      </c>
      <c r="AD33" s="35">
        <v>1260</v>
      </c>
      <c r="AE33" s="35">
        <v>530</v>
      </c>
      <c r="AF33" s="35">
        <v>530</v>
      </c>
      <c r="AG33" s="35">
        <v>530</v>
      </c>
      <c r="AH33" s="35">
        <v>530</v>
      </c>
      <c r="AI33" s="35">
        <v>530</v>
      </c>
      <c r="AJ33" s="35">
        <v>530</v>
      </c>
      <c r="AK33" s="35">
        <v>530</v>
      </c>
      <c r="AL33" s="35">
        <v>530</v>
      </c>
      <c r="AM33" s="35">
        <v>530</v>
      </c>
      <c r="AN33" s="35">
        <v>530</v>
      </c>
      <c r="AO33" s="35"/>
      <c r="AP33" s="54">
        <f ca="1">(OFFSET(AP33,0,-2)/2.5)/1.5</f>
        <v>141.33333333333334</v>
      </c>
      <c r="AQ33" s="164"/>
      <c r="AR33" s="162"/>
      <c r="AS33" s="164"/>
      <c r="AT33" s="199"/>
      <c r="AU33" s="54">
        <f ca="1">(OFFSET(AU33,0,-8)+OFFSET(AU33,0,-9)+OFFSET(AU33,0,-10))/3</f>
        <v>530</v>
      </c>
      <c r="AV33" s="54">
        <f ca="1">(OFFSET(AV33,0,-8))-(OFFSET(AV33,0,-1))</f>
        <v>0</v>
      </c>
      <c r="AW33" s="35"/>
      <c r="AX33" s="35"/>
    </row>
    <row r="34" spans="1:50" x14ac:dyDescent="0.3">
      <c r="A34" s="38" t="s">
        <v>47</v>
      </c>
      <c r="B34" s="63"/>
      <c r="C34" s="63"/>
      <c r="D34" s="91">
        <v>271</v>
      </c>
      <c r="E34" s="63">
        <v>433</v>
      </c>
      <c r="F34" s="63">
        <v>443</v>
      </c>
      <c r="G34" s="63">
        <v>424</v>
      </c>
      <c r="H34" s="63">
        <v>414</v>
      </c>
      <c r="I34" s="63">
        <v>414</v>
      </c>
      <c r="J34" s="63">
        <v>414</v>
      </c>
      <c r="K34" s="63">
        <v>473</v>
      </c>
      <c r="L34" s="63">
        <v>464</v>
      </c>
      <c r="M34" s="63">
        <v>464</v>
      </c>
      <c r="N34" s="63">
        <v>464</v>
      </c>
      <c r="O34" s="63">
        <v>464</v>
      </c>
      <c r="P34" s="63">
        <v>624</v>
      </c>
      <c r="Q34" s="63">
        <v>624</v>
      </c>
      <c r="R34" s="63">
        <v>624</v>
      </c>
      <c r="S34" s="63">
        <v>624</v>
      </c>
      <c r="T34" s="63">
        <v>524</v>
      </c>
      <c r="U34" s="63">
        <v>604</v>
      </c>
      <c r="V34" s="63">
        <v>604</v>
      </c>
      <c r="W34" s="63">
        <v>604</v>
      </c>
      <c r="X34" s="63">
        <v>604</v>
      </c>
      <c r="Y34" s="63">
        <v>604</v>
      </c>
      <c r="Z34" s="63">
        <v>604</v>
      </c>
      <c r="AA34" s="63">
        <v>604</v>
      </c>
      <c r="AB34" s="63">
        <v>604</v>
      </c>
      <c r="AC34" s="63">
        <v>604</v>
      </c>
      <c r="AD34" s="63">
        <v>604</v>
      </c>
      <c r="AE34" s="63">
        <v>624</v>
      </c>
      <c r="AF34" s="63">
        <v>624</v>
      </c>
      <c r="AG34" s="63">
        <v>624</v>
      </c>
      <c r="AH34" s="63">
        <v>624</v>
      </c>
      <c r="AI34" s="63">
        <v>624</v>
      </c>
      <c r="AJ34" s="63">
        <v>644</v>
      </c>
      <c r="AK34" s="63">
        <v>684</v>
      </c>
      <c r="AL34" s="63">
        <v>118</v>
      </c>
      <c r="AM34" s="63">
        <v>118</v>
      </c>
      <c r="AN34" s="63">
        <v>118</v>
      </c>
      <c r="AO34" s="63"/>
      <c r="AP34" s="60">
        <f ca="1">(OFFSET(AP34,0,-2)/5)/1.5</f>
        <v>15.733333333333334</v>
      </c>
      <c r="AQ34" s="172">
        <f ca="1">SUM(AP34:AP35)</f>
        <v>83.733333333333334</v>
      </c>
      <c r="AR34" s="178">
        <v>4</v>
      </c>
      <c r="AS34" s="172">
        <f ca="1">AQ34/AR34</f>
        <v>20.933333333333334</v>
      </c>
      <c r="AT34" s="189"/>
      <c r="AU34" s="60">
        <f ca="1">(OFFSET(AU34,0,-8)+OFFSET(AU34,0,-9)+OFFSET(AU34,0,-10))/3</f>
        <v>306.66666666666669</v>
      </c>
      <c r="AV34" s="60">
        <f ca="1">(OFFSET(AV34,0,-8))-(OFFSET(AV34,0,-1))</f>
        <v>-188.66666666666669</v>
      </c>
      <c r="AW34" s="63"/>
      <c r="AX34" s="63"/>
    </row>
    <row r="35" spans="1:50" x14ac:dyDescent="0.3">
      <c r="A35" s="38" t="s">
        <v>48</v>
      </c>
      <c r="B35" s="63"/>
      <c r="C35" s="63"/>
      <c r="D35" s="91">
        <v>1</v>
      </c>
      <c r="E35" s="63">
        <v>11</v>
      </c>
      <c r="F35" s="63">
        <v>11</v>
      </c>
      <c r="G35" s="63">
        <v>22</v>
      </c>
      <c r="H35" s="63">
        <v>21</v>
      </c>
      <c r="I35" s="63">
        <v>21</v>
      </c>
      <c r="J35" s="63">
        <v>21</v>
      </c>
      <c r="K35" s="63">
        <v>21</v>
      </c>
      <c r="L35" s="63">
        <v>21</v>
      </c>
      <c r="M35" s="63">
        <v>21</v>
      </c>
      <c r="N35" s="63">
        <v>21</v>
      </c>
      <c r="O35" s="63">
        <v>21</v>
      </c>
      <c r="P35" s="63">
        <v>21</v>
      </c>
      <c r="Q35" s="63">
        <v>21</v>
      </c>
      <c r="R35" s="63">
        <v>21</v>
      </c>
      <c r="S35" s="63">
        <v>21</v>
      </c>
      <c r="T35" s="63">
        <v>71</v>
      </c>
      <c r="U35" s="63">
        <v>71</v>
      </c>
      <c r="V35" s="63">
        <v>71</v>
      </c>
      <c r="W35" s="63">
        <v>71</v>
      </c>
      <c r="X35" s="63">
        <v>71</v>
      </c>
      <c r="Y35" s="63">
        <v>71</v>
      </c>
      <c r="Z35" s="63">
        <v>71</v>
      </c>
      <c r="AA35" s="63">
        <v>71</v>
      </c>
      <c r="AB35" s="63">
        <v>71</v>
      </c>
      <c r="AC35" s="63">
        <v>71</v>
      </c>
      <c r="AD35" s="63">
        <v>71</v>
      </c>
      <c r="AE35" s="63">
        <v>101</v>
      </c>
      <c r="AF35" s="63">
        <v>101</v>
      </c>
      <c r="AG35" s="63">
        <v>101</v>
      </c>
      <c r="AH35" s="63">
        <v>101</v>
      </c>
      <c r="AI35" s="63">
        <v>111</v>
      </c>
      <c r="AJ35" s="63">
        <v>181</v>
      </c>
      <c r="AK35" s="63">
        <v>181</v>
      </c>
      <c r="AL35" s="63">
        <v>65</v>
      </c>
      <c r="AM35" s="63">
        <v>55</v>
      </c>
      <c r="AN35" s="63">
        <v>51</v>
      </c>
      <c r="AO35" s="63"/>
      <c r="AP35" s="60">
        <f ca="1">(OFFSET(AP35,0,-2)*2)/1.5</f>
        <v>68</v>
      </c>
      <c r="AQ35" s="173"/>
      <c r="AR35" s="179"/>
      <c r="AS35" s="173"/>
      <c r="AT35" s="190"/>
      <c r="AU35" s="60">
        <f ca="1">(OFFSET(AU35,0,-8)+OFFSET(AU35,0,-9)+OFFSET(AU35,0,-10))/3</f>
        <v>100.33333333333333</v>
      </c>
      <c r="AV35" s="60">
        <f ca="1">(OFFSET(AV35,0,-8))-(OFFSET(AV35,0,-1))</f>
        <v>-49.333333333333329</v>
      </c>
      <c r="AW35" s="63"/>
      <c r="AX35" s="63"/>
    </row>
    <row r="36" spans="1:50" x14ac:dyDescent="0.3">
      <c r="A36" s="39" t="s">
        <v>49</v>
      </c>
      <c r="B36" s="25"/>
      <c r="C36" s="25"/>
      <c r="D36" s="40">
        <v>112</v>
      </c>
      <c r="E36" s="25">
        <v>1192</v>
      </c>
      <c r="F36" s="25">
        <v>1192</v>
      </c>
      <c r="G36" s="25">
        <v>1392</v>
      </c>
      <c r="H36" s="25">
        <v>1392</v>
      </c>
      <c r="I36" s="25">
        <v>1392</v>
      </c>
      <c r="J36" s="25">
        <v>1392</v>
      </c>
      <c r="K36" s="25">
        <v>1392</v>
      </c>
      <c r="L36" s="25">
        <v>1392</v>
      </c>
      <c r="M36" s="25">
        <v>1392</v>
      </c>
      <c r="N36" s="25">
        <v>1392</v>
      </c>
      <c r="O36" s="25">
        <v>1392</v>
      </c>
      <c r="P36" s="25">
        <v>1392</v>
      </c>
      <c r="Q36" s="25">
        <v>1388</v>
      </c>
      <c r="R36" s="25">
        <v>1388</v>
      </c>
      <c r="S36" s="25">
        <v>1388</v>
      </c>
      <c r="T36" s="25">
        <v>1388</v>
      </c>
      <c r="U36" s="25">
        <v>1388</v>
      </c>
      <c r="V36" s="25">
        <v>1388</v>
      </c>
      <c r="W36" s="25">
        <v>1385</v>
      </c>
      <c r="X36" s="25">
        <v>1385</v>
      </c>
      <c r="Y36" s="25">
        <v>1385</v>
      </c>
      <c r="Z36" s="25">
        <v>1385</v>
      </c>
      <c r="AA36" s="25">
        <v>1382</v>
      </c>
      <c r="AB36" s="25">
        <v>1382</v>
      </c>
      <c r="AC36" s="25">
        <v>1379</v>
      </c>
      <c r="AD36" s="25">
        <v>1379</v>
      </c>
      <c r="AE36" s="25">
        <v>1377</v>
      </c>
      <c r="AF36" s="25">
        <v>1379</v>
      </c>
      <c r="AG36" s="25">
        <v>1379</v>
      </c>
      <c r="AH36" s="25">
        <v>1379</v>
      </c>
      <c r="AI36" s="25">
        <v>1379</v>
      </c>
      <c r="AJ36" s="25">
        <v>1379</v>
      </c>
      <c r="AK36" s="25">
        <v>1379</v>
      </c>
      <c r="AL36" s="25">
        <v>769</v>
      </c>
      <c r="AM36" s="25">
        <v>719</v>
      </c>
      <c r="AN36" s="25">
        <v>780</v>
      </c>
      <c r="AO36" s="35"/>
      <c r="AP36" s="56">
        <f ca="1">OFFSET(AP36,0,-2)/37</f>
        <v>21.081081081081081</v>
      </c>
      <c r="AQ36" s="155">
        <f ca="1">SUM(AP36:AP38)</f>
        <v>77.837837837837839</v>
      </c>
      <c r="AR36" s="158">
        <v>0</v>
      </c>
      <c r="AS36" s="155" t="e">
        <f ca="1">AQ36/AR36</f>
        <v>#DIV/0!</v>
      </c>
      <c r="AT36" s="183"/>
      <c r="AU36" s="54">
        <f t="shared" ca="1" si="1"/>
        <v>955.66666666666663</v>
      </c>
      <c r="AV36" s="54">
        <f t="shared" ca="1" si="0"/>
        <v>-175.66666666666663</v>
      </c>
      <c r="AW36" s="25"/>
      <c r="AX36" s="25"/>
    </row>
    <row r="37" spans="1:50" x14ac:dyDescent="0.3">
      <c r="A37" s="39" t="s">
        <v>50</v>
      </c>
      <c r="B37" s="25"/>
      <c r="C37" s="25"/>
      <c r="D37" s="40">
        <v>1830</v>
      </c>
      <c r="E37" s="25">
        <v>1650</v>
      </c>
      <c r="F37" s="25">
        <v>1650</v>
      </c>
      <c r="G37" s="25">
        <v>2010</v>
      </c>
      <c r="H37" s="25">
        <v>2010</v>
      </c>
      <c r="I37" s="25">
        <v>2010</v>
      </c>
      <c r="J37" s="25">
        <v>2010</v>
      </c>
      <c r="K37" s="25">
        <v>1990</v>
      </c>
      <c r="L37" s="25">
        <v>1810</v>
      </c>
      <c r="M37" s="25">
        <v>1740</v>
      </c>
      <c r="N37" s="25">
        <v>1740</v>
      </c>
      <c r="O37" s="25">
        <v>1740</v>
      </c>
      <c r="P37" s="25">
        <v>1740</v>
      </c>
      <c r="Q37" s="25">
        <v>2040</v>
      </c>
      <c r="R37" s="25">
        <v>2040</v>
      </c>
      <c r="S37" s="25">
        <v>2070</v>
      </c>
      <c r="T37" s="25">
        <v>2070</v>
      </c>
      <c r="U37" s="25">
        <v>2070</v>
      </c>
      <c r="V37" s="25">
        <v>1830</v>
      </c>
      <c r="W37" s="25">
        <v>1785</v>
      </c>
      <c r="X37" s="25">
        <v>2055</v>
      </c>
      <c r="Y37" s="25">
        <v>2055</v>
      </c>
      <c r="Z37" s="25">
        <v>2175</v>
      </c>
      <c r="AA37" s="25">
        <v>2175</v>
      </c>
      <c r="AB37" s="25">
        <v>1965</v>
      </c>
      <c r="AC37" s="25">
        <v>1965</v>
      </c>
      <c r="AD37" s="25">
        <v>1965</v>
      </c>
      <c r="AE37" s="25">
        <v>2070</v>
      </c>
      <c r="AF37" s="25">
        <v>1980</v>
      </c>
      <c r="AG37" s="25">
        <v>1965</v>
      </c>
      <c r="AH37" s="25">
        <v>2145</v>
      </c>
      <c r="AI37" s="25">
        <v>1965</v>
      </c>
      <c r="AJ37" s="25">
        <v>2085</v>
      </c>
      <c r="AK37" s="25">
        <v>2235</v>
      </c>
      <c r="AL37" s="25">
        <v>1995</v>
      </c>
      <c r="AM37" s="25">
        <v>1845</v>
      </c>
      <c r="AN37" s="25">
        <v>2100</v>
      </c>
      <c r="AO37" s="35"/>
      <c r="AP37" s="56">
        <f ca="1">OFFSET(AP37,0,-2)/37</f>
        <v>56.756756756756758</v>
      </c>
      <c r="AQ37" s="156"/>
      <c r="AR37" s="159"/>
      <c r="AS37" s="156"/>
      <c r="AT37" s="184"/>
      <c r="AU37" s="54">
        <f t="shared" ca="1" si="1"/>
        <v>2025</v>
      </c>
      <c r="AV37" s="54">
        <f t="shared" ca="1" si="0"/>
        <v>75</v>
      </c>
      <c r="AW37" s="25"/>
      <c r="AX37" s="25"/>
    </row>
    <row r="38" spans="1:50" x14ac:dyDescent="0.3">
      <c r="A38" s="39" t="s">
        <v>51</v>
      </c>
      <c r="B38" s="25"/>
      <c r="C38" s="25"/>
      <c r="D38" s="4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35"/>
      <c r="AP38" s="56">
        <f ca="1">OFFSET(AP38,0,-2)/19</f>
        <v>0</v>
      </c>
      <c r="AQ38" s="157"/>
      <c r="AR38" s="160"/>
      <c r="AS38" s="157"/>
      <c r="AT38" s="185"/>
      <c r="AU38" s="54">
        <f t="shared" ca="1" si="1"/>
        <v>0</v>
      </c>
      <c r="AV38" s="54">
        <f t="shared" ca="1" si="0"/>
        <v>0</v>
      </c>
      <c r="AW38" s="25"/>
      <c r="AX38" s="25"/>
    </row>
    <row r="39" spans="1:50" ht="21" x14ac:dyDescent="0.4">
      <c r="A39" s="31" t="s">
        <v>52</v>
      </c>
      <c r="B39" s="23"/>
      <c r="C39" s="23"/>
      <c r="D39" s="41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51"/>
      <c r="AP39" s="53"/>
      <c r="AQ39" s="57"/>
      <c r="AR39" s="20"/>
      <c r="AS39" s="57"/>
      <c r="AT39" s="102"/>
      <c r="AU39" s="61"/>
      <c r="AV39" s="61"/>
      <c r="AW39" s="24"/>
      <c r="AX39" s="24"/>
    </row>
    <row r="40" spans="1:50" s="114" customFormat="1" hidden="1" x14ac:dyDescent="0.3">
      <c r="A40" s="106" t="s">
        <v>53</v>
      </c>
      <c r="B40" s="107">
        <v>5562</v>
      </c>
      <c r="C40" s="107">
        <v>5612</v>
      </c>
      <c r="D40" s="108">
        <v>5612</v>
      </c>
      <c r="E40" s="107">
        <v>5612</v>
      </c>
      <c r="F40" s="107">
        <v>5612</v>
      </c>
      <c r="G40" s="107">
        <v>5562</v>
      </c>
      <c r="H40" s="107">
        <v>5562</v>
      </c>
      <c r="I40" s="107">
        <v>5562</v>
      </c>
      <c r="J40" s="107">
        <v>5562</v>
      </c>
      <c r="K40" s="107">
        <v>5452</v>
      </c>
      <c r="L40" s="107">
        <v>5452</v>
      </c>
      <c r="M40" s="107">
        <v>5402</v>
      </c>
      <c r="N40" s="107">
        <v>5352</v>
      </c>
      <c r="O40" s="107">
        <v>5352</v>
      </c>
      <c r="P40" s="107">
        <v>5202</v>
      </c>
      <c r="Q40" s="107">
        <v>4852</v>
      </c>
      <c r="R40" s="107">
        <v>5202</v>
      </c>
      <c r="S40" s="107">
        <v>5202</v>
      </c>
      <c r="T40" s="107">
        <v>4929</v>
      </c>
      <c r="U40" s="107">
        <v>5231</v>
      </c>
      <c r="V40" s="107">
        <v>5798</v>
      </c>
      <c r="W40" s="107">
        <v>5798</v>
      </c>
      <c r="X40" s="107">
        <v>5798</v>
      </c>
      <c r="Y40" s="107">
        <v>5798</v>
      </c>
      <c r="Z40" s="107">
        <v>5698</v>
      </c>
      <c r="AA40" s="107">
        <v>5698</v>
      </c>
      <c r="AB40" s="107">
        <v>5698</v>
      </c>
      <c r="AC40" s="107">
        <v>5549</v>
      </c>
      <c r="AD40" s="107">
        <v>5549</v>
      </c>
      <c r="AE40" s="107">
        <v>5549</v>
      </c>
      <c r="AF40" s="107">
        <v>5498</v>
      </c>
      <c r="AG40" s="107">
        <v>5498</v>
      </c>
      <c r="AH40" s="107">
        <v>5448</v>
      </c>
      <c r="AI40" s="107">
        <v>5448</v>
      </c>
      <c r="AJ40" s="107">
        <v>5348</v>
      </c>
      <c r="AK40" s="107">
        <v>2048</v>
      </c>
      <c r="AL40" s="107">
        <v>1981</v>
      </c>
      <c r="AM40" s="107">
        <v>1848</v>
      </c>
      <c r="AN40" s="107">
        <v>1600</v>
      </c>
      <c r="AO40" s="109"/>
      <c r="AP40" s="110">
        <f ca="1">OFFSET(AP40,0,-2)/6</f>
        <v>266.66666666666669</v>
      </c>
      <c r="AQ40" s="110">
        <f t="shared" ref="AQ40:AQ46" ca="1" si="2">AP40</f>
        <v>266.66666666666669</v>
      </c>
      <c r="AR40" s="111">
        <v>11</v>
      </c>
      <c r="AS40" s="110">
        <f t="shared" ref="AS40:AS46" ca="1" si="3">AQ40/AR40</f>
        <v>24.242424242424246</v>
      </c>
      <c r="AT40" s="112" t="s">
        <v>54</v>
      </c>
      <c r="AU40" s="113">
        <f t="shared" ca="1" si="1"/>
        <v>1959</v>
      </c>
      <c r="AV40" s="113">
        <f t="shared" ca="1" si="0"/>
        <v>-359</v>
      </c>
      <c r="AW40" s="107"/>
      <c r="AX40" s="107"/>
    </row>
    <row r="41" spans="1:50" x14ac:dyDescent="0.3">
      <c r="A41" s="39" t="s">
        <v>55</v>
      </c>
      <c r="B41" s="25">
        <v>677</v>
      </c>
      <c r="C41" s="25">
        <v>737</v>
      </c>
      <c r="D41" s="40">
        <v>683</v>
      </c>
      <c r="E41" s="25">
        <v>693</v>
      </c>
      <c r="F41" s="25">
        <v>685</v>
      </c>
      <c r="G41" s="25">
        <v>760</v>
      </c>
      <c r="H41" s="25">
        <v>754</v>
      </c>
      <c r="I41" s="25">
        <v>761</v>
      </c>
      <c r="J41" s="25">
        <v>739</v>
      </c>
      <c r="K41" s="25">
        <v>765</v>
      </c>
      <c r="L41" s="25">
        <v>790</v>
      </c>
      <c r="M41" s="25">
        <v>790</v>
      </c>
      <c r="N41" s="25">
        <v>757</v>
      </c>
      <c r="O41" s="25">
        <v>773</v>
      </c>
      <c r="P41" s="25">
        <v>764</v>
      </c>
      <c r="Q41" s="25">
        <v>803</v>
      </c>
      <c r="R41" s="25">
        <v>788</v>
      </c>
      <c r="S41" s="25">
        <v>745</v>
      </c>
      <c r="T41" s="25">
        <v>761</v>
      </c>
      <c r="U41" s="25">
        <v>764</v>
      </c>
      <c r="V41" s="25">
        <v>748</v>
      </c>
      <c r="W41" s="25">
        <v>758</v>
      </c>
      <c r="X41" s="25">
        <v>749</v>
      </c>
      <c r="Y41" s="25">
        <v>742</v>
      </c>
      <c r="Z41" s="25">
        <v>729</v>
      </c>
      <c r="AA41" s="25">
        <v>702</v>
      </c>
      <c r="AB41" s="25">
        <v>692</v>
      </c>
      <c r="AC41" s="25">
        <v>730</v>
      </c>
      <c r="AD41" s="25">
        <v>732</v>
      </c>
      <c r="AE41" s="25">
        <v>754</v>
      </c>
      <c r="AF41" s="25">
        <v>741</v>
      </c>
      <c r="AG41" s="25">
        <v>716</v>
      </c>
      <c r="AH41" s="25">
        <v>702</v>
      </c>
      <c r="AI41" s="25">
        <v>649</v>
      </c>
      <c r="AJ41" s="25">
        <v>599</v>
      </c>
      <c r="AK41" s="25">
        <v>565</v>
      </c>
      <c r="AL41" s="25">
        <v>561</v>
      </c>
      <c r="AM41" s="25">
        <v>506</v>
      </c>
      <c r="AN41" s="25">
        <v>480</v>
      </c>
      <c r="AO41" s="35"/>
      <c r="AP41" s="56">
        <f ca="1">OFFSET(AP41,0,-2)</f>
        <v>480</v>
      </c>
      <c r="AQ41" s="56">
        <f ca="1">AP41</f>
        <v>480</v>
      </c>
      <c r="AR41" s="19">
        <v>82</v>
      </c>
      <c r="AS41" s="56">
        <f ca="1">AQ41/AR41</f>
        <v>5.8536585365853657</v>
      </c>
      <c r="AT41" s="105" t="s">
        <v>54</v>
      </c>
      <c r="AU41" s="54">
        <f t="shared" ca="1" si="1"/>
        <v>544</v>
      </c>
      <c r="AV41" s="54">
        <f t="shared" ca="1" si="0"/>
        <v>-64</v>
      </c>
      <c r="AW41" s="25"/>
      <c r="AX41" s="25"/>
    </row>
    <row r="42" spans="1:50" s="114" customFormat="1" hidden="1" x14ac:dyDescent="0.3">
      <c r="A42" s="106" t="s">
        <v>56</v>
      </c>
      <c r="B42" s="107">
        <v>110</v>
      </c>
      <c r="C42" s="107">
        <v>105</v>
      </c>
      <c r="D42" s="108">
        <v>105</v>
      </c>
      <c r="E42" s="107">
        <v>105</v>
      </c>
      <c r="F42" s="107">
        <v>105</v>
      </c>
      <c r="G42" s="107">
        <v>99</v>
      </c>
      <c r="H42" s="107">
        <v>99</v>
      </c>
      <c r="I42" s="107">
        <v>99</v>
      </c>
      <c r="J42" s="107">
        <v>99</v>
      </c>
      <c r="K42" s="107">
        <v>99</v>
      </c>
      <c r="L42" s="107">
        <v>99</v>
      </c>
      <c r="M42" s="107">
        <v>93</v>
      </c>
      <c r="N42" s="107">
        <v>93</v>
      </c>
      <c r="O42" s="107">
        <v>88</v>
      </c>
      <c r="P42" s="107">
        <v>88</v>
      </c>
      <c r="Q42" s="107">
        <v>82</v>
      </c>
      <c r="R42" s="107">
        <v>80</v>
      </c>
      <c r="S42" s="107">
        <v>73</v>
      </c>
      <c r="T42" s="107">
        <v>73</v>
      </c>
      <c r="U42" s="107">
        <v>66</v>
      </c>
      <c r="V42" s="107">
        <v>66</v>
      </c>
      <c r="W42" s="107">
        <v>66</v>
      </c>
      <c r="X42" s="107">
        <v>66</v>
      </c>
      <c r="Y42" s="107">
        <v>58</v>
      </c>
      <c r="Z42" s="107">
        <v>48</v>
      </c>
      <c r="AA42" s="107">
        <v>48</v>
      </c>
      <c r="AB42" s="107">
        <v>96</v>
      </c>
      <c r="AC42" s="107">
        <v>88</v>
      </c>
      <c r="AD42" s="107">
        <v>88</v>
      </c>
      <c r="AE42" s="107">
        <v>88</v>
      </c>
      <c r="AF42" s="107">
        <v>80</v>
      </c>
      <c r="AG42" s="107">
        <v>80</v>
      </c>
      <c r="AH42" s="107">
        <v>80</v>
      </c>
      <c r="AI42" s="107">
        <v>59</v>
      </c>
      <c r="AJ42" s="107">
        <v>46</v>
      </c>
      <c r="AK42" s="107">
        <v>68</v>
      </c>
      <c r="AL42" s="107">
        <v>70</v>
      </c>
      <c r="AM42" s="107">
        <v>82</v>
      </c>
      <c r="AN42" s="107">
        <v>170</v>
      </c>
      <c r="AO42" s="109"/>
      <c r="AP42" s="110">
        <f ca="1">OFFSET(AP42,0,-2)</f>
        <v>170</v>
      </c>
      <c r="AQ42" s="110">
        <f t="shared" ca="1" si="2"/>
        <v>170</v>
      </c>
      <c r="AR42" s="111">
        <v>4</v>
      </c>
      <c r="AS42" s="110">
        <f t="shared" ca="1" si="3"/>
        <v>42.5</v>
      </c>
      <c r="AT42" s="112" t="s">
        <v>25</v>
      </c>
      <c r="AU42" s="113">
        <f t="shared" ca="1" si="1"/>
        <v>73.333333333333329</v>
      </c>
      <c r="AV42" s="113">
        <f ca="1">(OFFSET(AV42,0,-8))-(OFFSET(AV42,0,-1))</f>
        <v>96.666666666666671</v>
      </c>
      <c r="AW42" s="107"/>
      <c r="AX42" s="107"/>
    </row>
    <row r="43" spans="1:50" s="114" customFormat="1" hidden="1" x14ac:dyDescent="0.3">
      <c r="A43" s="115" t="s">
        <v>57</v>
      </c>
      <c r="B43" s="116">
        <v>7700</v>
      </c>
      <c r="C43" s="116">
        <v>7600</v>
      </c>
      <c r="D43" s="117">
        <v>7570</v>
      </c>
      <c r="E43" s="116">
        <v>7570</v>
      </c>
      <c r="F43" s="116">
        <v>7570</v>
      </c>
      <c r="G43" s="116">
        <v>8570</v>
      </c>
      <c r="H43" s="116">
        <v>8570</v>
      </c>
      <c r="I43" s="116">
        <v>8570</v>
      </c>
      <c r="J43" s="116">
        <v>8570</v>
      </c>
      <c r="K43" s="116">
        <v>8570</v>
      </c>
      <c r="L43" s="116">
        <v>8570</v>
      </c>
      <c r="M43" s="116">
        <v>8570</v>
      </c>
      <c r="N43" s="116">
        <v>9800</v>
      </c>
      <c r="O43" s="116">
        <v>9800</v>
      </c>
      <c r="P43" s="116">
        <v>9800</v>
      </c>
      <c r="Q43" s="116">
        <v>9800</v>
      </c>
      <c r="R43" s="116">
        <v>9800</v>
      </c>
      <c r="S43" s="116">
        <v>9800</v>
      </c>
      <c r="T43" s="116">
        <v>9800</v>
      </c>
      <c r="U43" s="116">
        <v>9600</v>
      </c>
      <c r="V43" s="116">
        <v>9600</v>
      </c>
      <c r="W43" s="116">
        <v>9600</v>
      </c>
      <c r="X43" s="116">
        <v>9600</v>
      </c>
      <c r="Y43" s="116">
        <v>9600</v>
      </c>
      <c r="Z43" s="116">
        <v>9600</v>
      </c>
      <c r="AA43" s="116">
        <v>9500</v>
      </c>
      <c r="AB43" s="116">
        <v>9500</v>
      </c>
      <c r="AC43" s="116">
        <v>9500</v>
      </c>
      <c r="AD43" s="116">
        <v>9500</v>
      </c>
      <c r="AE43" s="116">
        <v>9600</v>
      </c>
      <c r="AF43" s="116">
        <v>9600</v>
      </c>
      <c r="AG43" s="116">
        <v>9500</v>
      </c>
      <c r="AH43" s="116">
        <v>9500</v>
      </c>
      <c r="AI43" s="116">
        <v>9500</v>
      </c>
      <c r="AJ43" s="116">
        <v>9700</v>
      </c>
      <c r="AK43" s="116">
        <v>9170</v>
      </c>
      <c r="AL43" s="116">
        <v>9670</v>
      </c>
      <c r="AM43" s="116">
        <v>9670</v>
      </c>
      <c r="AN43" s="116">
        <v>7420</v>
      </c>
      <c r="AO43" s="118"/>
      <c r="AP43" s="119">
        <f ca="1">OFFSET(AP43,0,-2)/12</f>
        <v>618.33333333333337</v>
      </c>
      <c r="AQ43" s="119">
        <f t="shared" ca="1" si="2"/>
        <v>618.33333333333337</v>
      </c>
      <c r="AR43" s="120">
        <v>1</v>
      </c>
      <c r="AS43" s="119">
        <f t="shared" ca="1" si="3"/>
        <v>618.33333333333337</v>
      </c>
      <c r="AT43" s="121" t="s">
        <v>25</v>
      </c>
      <c r="AU43" s="122">
        <f t="shared" ca="1" si="1"/>
        <v>9503.3333333333339</v>
      </c>
      <c r="AV43" s="122">
        <f t="shared" ca="1" si="0"/>
        <v>-2083.3333333333339</v>
      </c>
      <c r="AW43" s="116"/>
      <c r="AX43" s="116"/>
    </row>
    <row r="44" spans="1:50" x14ac:dyDescent="0.3">
      <c r="A44" s="27" t="s">
        <v>58</v>
      </c>
      <c r="B44" s="23" t="s">
        <v>59</v>
      </c>
      <c r="C44" s="23" t="s">
        <v>59</v>
      </c>
      <c r="D44" s="42">
        <v>11680</v>
      </c>
      <c r="E44" s="43">
        <v>11680</v>
      </c>
      <c r="F44" s="43">
        <v>11680</v>
      </c>
      <c r="G44" s="23">
        <v>11280</v>
      </c>
      <c r="H44" s="23">
        <v>11880</v>
      </c>
      <c r="I44" s="23">
        <v>11480</v>
      </c>
      <c r="J44" s="23">
        <v>11480</v>
      </c>
      <c r="K44" s="23">
        <v>11480</v>
      </c>
      <c r="L44" s="23">
        <v>11480</v>
      </c>
      <c r="M44" s="23">
        <v>11880</v>
      </c>
      <c r="N44" s="23">
        <v>11480</v>
      </c>
      <c r="O44" s="23">
        <v>11480</v>
      </c>
      <c r="P44" s="23">
        <v>11080</v>
      </c>
      <c r="Q44" s="23">
        <v>11080</v>
      </c>
      <c r="R44" s="23">
        <v>11080</v>
      </c>
      <c r="S44" s="23">
        <v>11080</v>
      </c>
      <c r="T44" s="23">
        <v>11080</v>
      </c>
      <c r="U44" s="23">
        <v>9080</v>
      </c>
      <c r="V44" s="23">
        <v>12200</v>
      </c>
      <c r="W44" s="23">
        <v>12680</v>
      </c>
      <c r="X44" s="23">
        <v>12680</v>
      </c>
      <c r="Y44" s="23">
        <v>12680</v>
      </c>
      <c r="Z44" s="23">
        <v>13480</v>
      </c>
      <c r="AA44" s="23">
        <v>12880</v>
      </c>
      <c r="AB44" s="23">
        <v>12280</v>
      </c>
      <c r="AC44" s="23">
        <v>13480</v>
      </c>
      <c r="AD44" s="23">
        <v>13880</v>
      </c>
      <c r="AE44" s="23">
        <v>13880</v>
      </c>
      <c r="AF44" s="23">
        <v>13880</v>
      </c>
      <c r="AG44" s="23">
        <v>13880</v>
      </c>
      <c r="AH44" s="23">
        <v>13880</v>
      </c>
      <c r="AI44" s="23">
        <v>14280</v>
      </c>
      <c r="AJ44" s="23">
        <v>14280</v>
      </c>
      <c r="AK44" s="23">
        <v>14280</v>
      </c>
      <c r="AL44" s="23">
        <v>13280</v>
      </c>
      <c r="AM44" s="23">
        <v>13280</v>
      </c>
      <c r="AN44" s="23">
        <v>9920</v>
      </c>
      <c r="AO44" s="63"/>
      <c r="AP44" s="55">
        <f ca="1">OFFSET(AP44,0,-2)/800</f>
        <v>12.4</v>
      </c>
      <c r="AQ44" s="55">
        <f t="shared" ca="1" si="2"/>
        <v>12.4</v>
      </c>
      <c r="AR44" s="21">
        <v>0</v>
      </c>
      <c r="AS44" s="55" t="e">
        <f t="shared" ca="1" si="3"/>
        <v>#DIV/0!</v>
      </c>
      <c r="AT44" s="101" t="s">
        <v>25</v>
      </c>
      <c r="AU44" s="60">
        <f t="shared" ca="1" si="1"/>
        <v>13613.333333333334</v>
      </c>
      <c r="AV44" s="60">
        <f t="shared" ca="1" si="0"/>
        <v>-3693.3333333333339</v>
      </c>
      <c r="AW44" s="23"/>
      <c r="AX44" s="23"/>
    </row>
    <row r="45" spans="1:50" s="114" customFormat="1" hidden="1" x14ac:dyDescent="0.3">
      <c r="A45" s="115" t="s">
        <v>60</v>
      </c>
      <c r="B45" s="116">
        <v>120</v>
      </c>
      <c r="C45" s="116">
        <v>300</v>
      </c>
      <c r="D45" s="117">
        <v>420</v>
      </c>
      <c r="E45" s="116">
        <v>420</v>
      </c>
      <c r="F45" s="116">
        <v>420</v>
      </c>
      <c r="G45" s="116">
        <v>420</v>
      </c>
      <c r="H45" s="116">
        <v>420</v>
      </c>
      <c r="I45" s="116">
        <v>420</v>
      </c>
      <c r="J45" s="116">
        <v>420</v>
      </c>
      <c r="K45" s="116">
        <v>420</v>
      </c>
      <c r="L45" s="116">
        <v>420</v>
      </c>
      <c r="M45" s="116">
        <v>420</v>
      </c>
      <c r="N45" s="116">
        <v>420</v>
      </c>
      <c r="O45" s="116">
        <v>420</v>
      </c>
      <c r="P45" s="116">
        <v>420</v>
      </c>
      <c r="Q45" s="116">
        <v>420</v>
      </c>
      <c r="R45" s="116">
        <v>420</v>
      </c>
      <c r="S45" s="116">
        <v>420</v>
      </c>
      <c r="T45" s="116">
        <v>420</v>
      </c>
      <c r="U45" s="116">
        <v>420</v>
      </c>
      <c r="V45" s="116">
        <v>420</v>
      </c>
      <c r="W45" s="116">
        <v>420</v>
      </c>
      <c r="X45" s="116">
        <v>420</v>
      </c>
      <c r="Y45" s="116">
        <v>420</v>
      </c>
      <c r="Z45" s="116">
        <v>420</v>
      </c>
      <c r="AA45" s="116">
        <v>420</v>
      </c>
      <c r="AB45" s="116">
        <v>420</v>
      </c>
      <c r="AC45" s="116">
        <v>420</v>
      </c>
      <c r="AD45" s="116">
        <v>420</v>
      </c>
      <c r="AE45" s="116">
        <v>60</v>
      </c>
      <c r="AF45" s="116">
        <v>60</v>
      </c>
      <c r="AG45" s="116">
        <v>60</v>
      </c>
      <c r="AH45" s="116">
        <v>60</v>
      </c>
      <c r="AI45" s="116">
        <v>60</v>
      </c>
      <c r="AJ45" s="116">
        <v>60</v>
      </c>
      <c r="AK45" s="116">
        <v>60</v>
      </c>
      <c r="AL45" s="116">
        <v>60</v>
      </c>
      <c r="AM45" s="116">
        <v>60</v>
      </c>
      <c r="AN45" s="116">
        <v>55</v>
      </c>
      <c r="AO45" s="118"/>
      <c r="AP45" s="119">
        <f ca="1">OFFSET(AP45,0,-2)</f>
        <v>55</v>
      </c>
      <c r="AQ45" s="119">
        <f t="shared" ca="1" si="2"/>
        <v>55</v>
      </c>
      <c r="AR45" s="120">
        <v>0</v>
      </c>
      <c r="AS45" s="119" t="e">
        <f t="shared" ca="1" si="3"/>
        <v>#DIV/0!</v>
      </c>
      <c r="AT45" s="121" t="s">
        <v>25</v>
      </c>
      <c r="AU45" s="122">
        <f t="shared" ca="1" si="1"/>
        <v>60</v>
      </c>
      <c r="AV45" s="122">
        <f t="shared" ca="1" si="0"/>
        <v>-5</v>
      </c>
      <c r="AW45" s="116"/>
      <c r="AX45" s="116"/>
    </row>
    <row r="46" spans="1:50" s="114" customFormat="1" hidden="1" x14ac:dyDescent="0.3">
      <c r="A46" s="128" t="s">
        <v>61</v>
      </c>
      <c r="B46" s="129"/>
      <c r="C46" s="129"/>
      <c r="D46" s="130">
        <v>725</v>
      </c>
      <c r="E46" s="129">
        <v>700</v>
      </c>
      <c r="F46" s="129">
        <v>700</v>
      </c>
      <c r="G46" s="129">
        <v>700</v>
      </c>
      <c r="H46" s="129">
        <v>675</v>
      </c>
      <c r="I46" s="129">
        <v>925</v>
      </c>
      <c r="J46" s="129">
        <v>925</v>
      </c>
      <c r="K46" s="129">
        <v>900</v>
      </c>
      <c r="L46" s="129">
        <v>850</v>
      </c>
      <c r="M46" s="129">
        <v>825</v>
      </c>
      <c r="N46" s="129">
        <v>825</v>
      </c>
      <c r="O46" s="129">
        <v>825</v>
      </c>
      <c r="P46" s="129">
        <v>825</v>
      </c>
      <c r="Q46" s="129">
        <v>800</v>
      </c>
      <c r="R46" s="129">
        <v>800</v>
      </c>
      <c r="S46" s="129">
        <v>775</v>
      </c>
      <c r="T46" s="129">
        <v>750</v>
      </c>
      <c r="U46" s="129">
        <v>725</v>
      </c>
      <c r="V46" s="129">
        <v>725</v>
      </c>
      <c r="W46" s="129">
        <v>700</v>
      </c>
      <c r="X46" s="129">
        <v>675</v>
      </c>
      <c r="Y46" s="129">
        <v>650</v>
      </c>
      <c r="Z46" s="129">
        <v>600</v>
      </c>
      <c r="AA46" s="129">
        <v>575</v>
      </c>
      <c r="AB46" s="129">
        <v>500</v>
      </c>
      <c r="AC46" s="129">
        <v>725</v>
      </c>
      <c r="AD46" s="129">
        <v>675</v>
      </c>
      <c r="AE46" s="129">
        <v>650</v>
      </c>
      <c r="AF46" s="129">
        <v>625</v>
      </c>
      <c r="AG46" s="129">
        <v>625</v>
      </c>
      <c r="AH46" s="129">
        <v>625</v>
      </c>
      <c r="AI46" s="129">
        <v>600</v>
      </c>
      <c r="AJ46" s="129">
        <v>550</v>
      </c>
      <c r="AK46" s="129">
        <v>500</v>
      </c>
      <c r="AL46" s="129">
        <v>500</v>
      </c>
      <c r="AM46" s="129">
        <v>575</v>
      </c>
      <c r="AN46" s="129">
        <v>425</v>
      </c>
      <c r="AO46" s="131"/>
      <c r="AP46" s="125">
        <f ca="1">OFFSET(AP46,0,-2)</f>
        <v>425</v>
      </c>
      <c r="AQ46" s="125">
        <f t="shared" ca="1" si="2"/>
        <v>425</v>
      </c>
      <c r="AR46" s="124">
        <v>16</v>
      </c>
      <c r="AS46" s="125">
        <f t="shared" ca="1" si="3"/>
        <v>26.5625</v>
      </c>
      <c r="AT46" s="152" t="s">
        <v>25</v>
      </c>
      <c r="AU46" s="132">
        <f t="shared" ca="1" si="1"/>
        <v>525</v>
      </c>
      <c r="AV46" s="132">
        <f t="shared" ca="1" si="0"/>
        <v>-100</v>
      </c>
      <c r="AW46" s="129"/>
      <c r="AX46" s="129"/>
    </row>
    <row r="47" spans="1:50" x14ac:dyDescent="0.3">
      <c r="A47" s="39" t="s">
        <v>62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35"/>
      <c r="AP47" s="56">
        <f t="shared" ref="AP47:AP50" ca="1" si="4">OFFSET(AP47,0,-2)</f>
        <v>0</v>
      </c>
      <c r="AQ47" s="56">
        <f t="shared" ref="AQ47:AQ50" ca="1" si="5">AP47</f>
        <v>0</v>
      </c>
      <c r="AR47" s="181">
        <v>19</v>
      </c>
      <c r="AS47" s="182">
        <f t="shared" ref="AS47" ca="1" si="6">AQ47/AR47</f>
        <v>0</v>
      </c>
      <c r="AT47" s="105"/>
      <c r="AU47" s="56"/>
      <c r="AV47" s="19"/>
      <c r="AW47" s="56"/>
      <c r="AX47" s="56"/>
    </row>
    <row r="48" spans="1:50" x14ac:dyDescent="0.3">
      <c r="A48" s="27" t="s">
        <v>63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63"/>
      <c r="AP48" s="55">
        <f t="shared" ca="1" si="4"/>
        <v>0</v>
      </c>
      <c r="AQ48" s="55">
        <f t="shared" ca="1" si="5"/>
        <v>0</v>
      </c>
      <c r="AR48" s="181"/>
      <c r="AS48" s="182"/>
      <c r="AT48" s="101"/>
      <c r="AU48" s="60"/>
      <c r="AV48" s="60"/>
      <c r="AW48" s="23"/>
      <c r="AX48" s="23"/>
    </row>
    <row r="49" spans="1:50" x14ac:dyDescent="0.3">
      <c r="A49" s="39" t="s">
        <v>64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35"/>
      <c r="AP49" s="56">
        <f t="shared" ca="1" si="4"/>
        <v>0</v>
      </c>
      <c r="AQ49" s="56">
        <f t="shared" ca="1" si="5"/>
        <v>0</v>
      </c>
      <c r="AR49" s="181"/>
      <c r="AS49" s="182"/>
      <c r="AT49" s="105" t="s">
        <v>65</v>
      </c>
      <c r="AU49" s="54"/>
      <c r="AV49" s="54"/>
      <c r="AW49" s="25"/>
      <c r="AX49" s="25"/>
    </row>
    <row r="50" spans="1:50" x14ac:dyDescent="0.3">
      <c r="A50" s="27" t="s">
        <v>66</v>
      </c>
      <c r="B50" s="27"/>
      <c r="C50" s="27"/>
      <c r="D50" s="23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21">
        <f t="shared" ca="1" si="4"/>
        <v>0</v>
      </c>
      <c r="AQ50" s="21">
        <f t="shared" ca="1" si="5"/>
        <v>0</v>
      </c>
      <c r="AR50" s="21">
        <v>4</v>
      </c>
      <c r="AS50" s="55">
        <f ca="1">AQ50/(AR50*6)</f>
        <v>0</v>
      </c>
      <c r="AT50" s="127"/>
      <c r="AU50" s="126"/>
      <c r="AV50" s="126"/>
      <c r="AW50" s="126"/>
      <c r="AX50" s="126"/>
    </row>
    <row r="51" spans="1:50" x14ac:dyDescent="0.3">
      <c r="A51" s="133" t="s">
        <v>67</v>
      </c>
    </row>
    <row r="52" spans="1:50" x14ac:dyDescent="0.3">
      <c r="A52" s="27" t="s">
        <v>68</v>
      </c>
    </row>
    <row r="53" spans="1:50" x14ac:dyDescent="0.3">
      <c r="A53" s="27" t="s">
        <v>69</v>
      </c>
    </row>
    <row r="54" spans="1:50" x14ac:dyDescent="0.3">
      <c r="A54" s="27" t="s">
        <v>70</v>
      </c>
    </row>
    <row r="55" spans="1:50" x14ac:dyDescent="0.3">
      <c r="A55" s="27" t="s">
        <v>71</v>
      </c>
    </row>
    <row r="56" spans="1:50" x14ac:dyDescent="0.3">
      <c r="AT56" s="23"/>
    </row>
  </sheetData>
  <sheetProtection formatCells="0" formatColumns="0" formatRows="0" insertColumns="0" insertRows="0" insertHyperlinks="0" deleteColumns="0" deleteRows="0" selectLockedCells="1" sort="0" autoFilter="0" pivotTables="0"/>
  <mergeCells count="46">
    <mergeCell ref="AR47:AR49"/>
    <mergeCell ref="AS47:AS49"/>
    <mergeCell ref="AT36:AT38"/>
    <mergeCell ref="AT3:AT6"/>
    <mergeCell ref="AT12:AT13"/>
    <mergeCell ref="AT15:AT18"/>
    <mergeCell ref="AT25:AT26"/>
    <mergeCell ref="AT27:AT28"/>
    <mergeCell ref="AT29:AT30"/>
    <mergeCell ref="AT34:AT35"/>
    <mergeCell ref="AT32:AT33"/>
    <mergeCell ref="AT7:AT10"/>
    <mergeCell ref="AT19:AT23"/>
    <mergeCell ref="AR27:AR28"/>
    <mergeCell ref="AS27:AS28"/>
    <mergeCell ref="AR29:AR30"/>
    <mergeCell ref="AQ3:AQ6"/>
    <mergeCell ref="AQ12:AQ13"/>
    <mergeCell ref="AR3:AR6"/>
    <mergeCell ref="AS3:AS6"/>
    <mergeCell ref="AS12:AS13"/>
    <mergeCell ref="AR12:AR13"/>
    <mergeCell ref="AR7:AR10"/>
    <mergeCell ref="AS7:AS10"/>
    <mergeCell ref="AQ7:AQ10"/>
    <mergeCell ref="AR19:AR23"/>
    <mergeCell ref="AS19:AS23"/>
    <mergeCell ref="AQ15:AQ18"/>
    <mergeCell ref="AQ25:AQ26"/>
    <mergeCell ref="AQ34:AQ35"/>
    <mergeCell ref="AQ27:AQ28"/>
    <mergeCell ref="AQ29:AQ30"/>
    <mergeCell ref="AQ19:AQ23"/>
    <mergeCell ref="AS29:AS30"/>
    <mergeCell ref="AR34:AR35"/>
    <mergeCell ref="AS34:AS35"/>
    <mergeCell ref="AS15:AS18"/>
    <mergeCell ref="AS25:AS26"/>
    <mergeCell ref="AR25:AR26"/>
    <mergeCell ref="AR15:AR18"/>
    <mergeCell ref="AS36:AS38"/>
    <mergeCell ref="AQ36:AQ38"/>
    <mergeCell ref="AR36:AR38"/>
    <mergeCell ref="AR32:AR33"/>
    <mergeCell ref="AS32:AS33"/>
    <mergeCell ref="AQ32:AQ33"/>
  </mergeCells>
  <conditionalFormatting sqref="AV3:AV46">
    <cfRule type="cellIs" dxfId="2" priority="4" operator="lessThan">
      <formula>0</formula>
    </cfRule>
  </conditionalFormatting>
  <conditionalFormatting sqref="AV48:AV49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78"/>
  <sheetViews>
    <sheetView workbookViewId="0">
      <selection activeCell="BA185" sqref="BA185"/>
    </sheetView>
  </sheetViews>
  <sheetFormatPr defaultRowHeight="14.4" x14ac:dyDescent="0.3"/>
  <cols>
    <col min="1" max="1" width="25.109375" style="48" customWidth="1"/>
    <col min="2" max="3" width="0" style="26" hidden="1" customWidth="1"/>
    <col min="4" max="4" width="10.33203125" style="26" hidden="1" customWidth="1"/>
    <col min="5" max="6" width="0" style="26" hidden="1" customWidth="1"/>
    <col min="7" max="8" width="9.109375" style="26" hidden="1" customWidth="1"/>
    <col min="9" max="49" width="11.109375" style="26" hidden="1" customWidth="1"/>
    <col min="50" max="50" width="12" style="48" customWidth="1"/>
    <col min="51" max="51" width="3" style="48" customWidth="1"/>
    <col min="52" max="52" width="14.6640625" style="143" customWidth="1"/>
  </cols>
  <sheetData>
    <row r="1" spans="1:55" ht="42" customHeight="1" x14ac:dyDescent="0.3">
      <c r="A1" s="146" t="s">
        <v>0</v>
      </c>
      <c r="B1" s="134">
        <v>43916</v>
      </c>
      <c r="C1" s="134">
        <v>43917</v>
      </c>
      <c r="D1" s="135">
        <v>43920</v>
      </c>
      <c r="E1" s="136">
        <v>43921</v>
      </c>
      <c r="F1" s="136">
        <v>43922</v>
      </c>
      <c r="G1" s="136">
        <v>43923</v>
      </c>
      <c r="H1" s="136">
        <v>43924</v>
      </c>
      <c r="I1" s="136">
        <v>43925</v>
      </c>
      <c r="J1" s="136">
        <v>43926</v>
      </c>
      <c r="K1" s="136">
        <v>43927</v>
      </c>
      <c r="L1" s="136">
        <v>43928</v>
      </c>
      <c r="M1" s="136">
        <v>43929</v>
      </c>
      <c r="N1" s="136">
        <v>43930</v>
      </c>
      <c r="O1" s="136">
        <v>43931</v>
      </c>
      <c r="P1" s="136">
        <v>43934</v>
      </c>
      <c r="Q1" s="136">
        <v>43935</v>
      </c>
      <c r="R1" s="136">
        <v>43936</v>
      </c>
      <c r="S1" s="136">
        <v>43937</v>
      </c>
      <c r="T1" s="136">
        <v>43938</v>
      </c>
      <c r="U1" s="136">
        <v>43941</v>
      </c>
      <c r="V1" s="136">
        <v>43942</v>
      </c>
      <c r="W1" s="136">
        <v>43943</v>
      </c>
      <c r="X1" s="136">
        <v>43944</v>
      </c>
      <c r="Y1" s="136">
        <v>43945</v>
      </c>
      <c r="Z1" s="136">
        <v>43948</v>
      </c>
      <c r="AA1" s="136">
        <v>43949</v>
      </c>
      <c r="AB1" s="136">
        <v>43950</v>
      </c>
      <c r="AC1" s="136">
        <v>43951</v>
      </c>
      <c r="AD1" s="136">
        <v>43952</v>
      </c>
      <c r="AE1" s="136">
        <v>43955</v>
      </c>
      <c r="AF1" s="136">
        <v>43956</v>
      </c>
      <c r="AG1" s="136">
        <v>43957</v>
      </c>
      <c r="AH1" s="136">
        <v>43958</v>
      </c>
      <c r="AI1" s="136">
        <v>43964</v>
      </c>
      <c r="AJ1" s="136">
        <v>43966</v>
      </c>
      <c r="AK1" s="136">
        <v>43971</v>
      </c>
      <c r="AL1" s="136">
        <v>43973</v>
      </c>
      <c r="AM1" s="136">
        <v>43978</v>
      </c>
      <c r="AN1" s="136">
        <v>43985</v>
      </c>
      <c r="AO1" s="136">
        <v>43999</v>
      </c>
      <c r="AP1" s="136">
        <v>44006</v>
      </c>
      <c r="AQ1" s="136">
        <v>44012</v>
      </c>
      <c r="AR1" s="136">
        <v>44020</v>
      </c>
      <c r="AS1" s="136">
        <v>44027</v>
      </c>
      <c r="AT1" s="136">
        <v>44033</v>
      </c>
      <c r="AU1" s="136">
        <v>44041</v>
      </c>
      <c r="AV1" s="136">
        <v>44048</v>
      </c>
      <c r="AW1" s="136">
        <v>44055</v>
      </c>
      <c r="AX1" s="136" t="s">
        <v>72</v>
      </c>
      <c r="AY1" s="136"/>
      <c r="AZ1" s="141" t="s">
        <v>73</v>
      </c>
    </row>
    <row r="2" spans="1:55" x14ac:dyDescent="0.3">
      <c r="A2" s="23" t="s">
        <v>66</v>
      </c>
      <c r="B2" s="27"/>
      <c r="C2" s="27"/>
      <c r="D2" s="23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44">
        <v>314</v>
      </c>
      <c r="AV2" s="44">
        <v>322</v>
      </c>
      <c r="AW2" s="44">
        <v>229</v>
      </c>
      <c r="AX2" s="49"/>
      <c r="AY2" s="49"/>
      <c r="AZ2" s="142">
        <f>LOOKUP(2,1/(AX1:AX1050&lt;&gt;""),AX1:AX50)/6</f>
        <v>14</v>
      </c>
      <c r="BC2" s="140"/>
    </row>
    <row r="3" spans="1:55" x14ac:dyDescent="0.3">
      <c r="A3" s="137" t="s">
        <v>74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 t="s">
        <v>72</v>
      </c>
      <c r="AY3" s="138"/>
      <c r="BB3" s="139"/>
    </row>
    <row r="4" spans="1:55" hidden="1" x14ac:dyDescent="0.3">
      <c r="A4" s="45">
        <v>44133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44">
        <v>110</v>
      </c>
      <c r="AY4" s="138"/>
    </row>
    <row r="5" spans="1:55" hidden="1" x14ac:dyDescent="0.3">
      <c r="A5" s="45">
        <v>44134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44">
        <v>139</v>
      </c>
      <c r="AY5" s="138"/>
    </row>
    <row r="6" spans="1:55" hidden="1" x14ac:dyDescent="0.3">
      <c r="A6" s="45">
        <v>44135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44">
        <v>117</v>
      </c>
      <c r="AY6" s="138"/>
    </row>
    <row r="7" spans="1:55" hidden="1" x14ac:dyDescent="0.3">
      <c r="A7" s="45">
        <v>44136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44">
        <v>94</v>
      </c>
      <c r="AY7" s="138"/>
    </row>
    <row r="8" spans="1:55" hidden="1" x14ac:dyDescent="0.3">
      <c r="A8" s="45">
        <v>44137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44">
        <v>88</v>
      </c>
      <c r="AY8" s="138"/>
    </row>
    <row r="9" spans="1:55" hidden="1" x14ac:dyDescent="0.3">
      <c r="A9" s="45">
        <v>44138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44">
        <v>138</v>
      </c>
      <c r="AY9" s="138"/>
    </row>
    <row r="10" spans="1:55" hidden="1" x14ac:dyDescent="0.3">
      <c r="A10" s="45">
        <v>44139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44">
        <v>138</v>
      </c>
      <c r="AY10" s="138"/>
    </row>
    <row r="11" spans="1:55" hidden="1" x14ac:dyDescent="0.3">
      <c r="A11" s="45">
        <v>44140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44">
        <v>142</v>
      </c>
      <c r="AY11" s="138"/>
    </row>
    <row r="12" spans="1:55" hidden="1" x14ac:dyDescent="0.3">
      <c r="A12" s="45">
        <v>44141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44">
        <v>126</v>
      </c>
      <c r="AY12" s="138"/>
    </row>
    <row r="13" spans="1:55" hidden="1" x14ac:dyDescent="0.3">
      <c r="A13" s="45">
        <v>44142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44">
        <v>113</v>
      </c>
      <c r="AY13" s="138"/>
    </row>
    <row r="14" spans="1:55" hidden="1" x14ac:dyDescent="0.3">
      <c r="A14" s="45">
        <v>44143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44">
        <v>100</v>
      </c>
      <c r="AY14" s="138"/>
    </row>
    <row r="15" spans="1:55" hidden="1" x14ac:dyDescent="0.3">
      <c r="A15" s="45">
        <v>44144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44">
        <v>91</v>
      </c>
      <c r="AY15" s="138"/>
    </row>
    <row r="16" spans="1:55" hidden="1" x14ac:dyDescent="0.3">
      <c r="A16" s="45">
        <v>44145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44">
        <v>122</v>
      </c>
      <c r="AY16" s="138"/>
    </row>
    <row r="17" spans="1:51" hidden="1" x14ac:dyDescent="0.3">
      <c r="A17" s="45">
        <v>44146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44">
        <v>102</v>
      </c>
      <c r="AY17" s="138"/>
    </row>
    <row r="18" spans="1:51" hidden="1" x14ac:dyDescent="0.3">
      <c r="A18" s="45">
        <v>44147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44">
        <v>82</v>
      </c>
      <c r="AY18" s="138"/>
    </row>
    <row r="19" spans="1:51" hidden="1" x14ac:dyDescent="0.3">
      <c r="A19" s="45">
        <v>44148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44">
        <v>131</v>
      </c>
      <c r="AY19" s="138"/>
    </row>
    <row r="20" spans="1:51" hidden="1" x14ac:dyDescent="0.3">
      <c r="A20" s="45">
        <v>44149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44">
        <v>122</v>
      </c>
      <c r="AY20" s="138"/>
    </row>
    <row r="21" spans="1:51" hidden="1" x14ac:dyDescent="0.3">
      <c r="A21" s="45">
        <v>44150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44">
        <v>113</v>
      </c>
      <c r="AY21" s="138"/>
    </row>
    <row r="22" spans="1:51" hidden="1" x14ac:dyDescent="0.3">
      <c r="A22" s="45">
        <v>44151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44">
        <v>105</v>
      </c>
      <c r="AY22" s="138"/>
    </row>
    <row r="23" spans="1:51" hidden="1" x14ac:dyDescent="0.3">
      <c r="A23" s="45">
        <v>44152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44">
        <v>135</v>
      </c>
      <c r="AY23" s="138"/>
    </row>
    <row r="24" spans="1:51" hidden="1" x14ac:dyDescent="0.3">
      <c r="A24" s="45">
        <v>44153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44">
        <v>231</v>
      </c>
      <c r="AY24" s="138"/>
    </row>
    <row r="25" spans="1:51" hidden="1" x14ac:dyDescent="0.3">
      <c r="A25" s="45">
        <v>44154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44">
        <v>215</v>
      </c>
      <c r="AY25" s="138"/>
    </row>
    <row r="26" spans="1:51" hidden="1" x14ac:dyDescent="0.3">
      <c r="A26" s="45">
        <v>44155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44">
        <v>207</v>
      </c>
      <c r="AY26" s="138"/>
    </row>
    <row r="27" spans="1:51" hidden="1" x14ac:dyDescent="0.3">
      <c r="A27" s="45">
        <v>44156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44">
        <v>198</v>
      </c>
      <c r="AY27" s="138"/>
    </row>
    <row r="28" spans="1:51" hidden="1" x14ac:dyDescent="0.3">
      <c r="A28" s="45">
        <v>44157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44">
        <v>189</v>
      </c>
      <c r="AY28" s="138"/>
    </row>
    <row r="29" spans="1:51" hidden="1" x14ac:dyDescent="0.3">
      <c r="A29" s="45">
        <v>44158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44">
        <v>180</v>
      </c>
      <c r="AY29" s="138"/>
    </row>
    <row r="30" spans="1:51" hidden="1" x14ac:dyDescent="0.3">
      <c r="A30" s="45">
        <v>44159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44">
        <v>180</v>
      </c>
      <c r="AY30" s="138"/>
    </row>
    <row r="31" spans="1:51" hidden="1" x14ac:dyDescent="0.3">
      <c r="A31" s="45">
        <v>44160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44">
        <v>160</v>
      </c>
      <c r="AY31" s="138"/>
    </row>
    <row r="32" spans="1:51" hidden="1" x14ac:dyDescent="0.3">
      <c r="A32" s="45">
        <v>44161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44">
        <v>177</v>
      </c>
      <c r="AY32" s="138"/>
    </row>
    <row r="33" spans="1:51" hidden="1" x14ac:dyDescent="0.3">
      <c r="A33" s="45">
        <v>44162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44">
        <v>194</v>
      </c>
      <c r="AY33" s="138"/>
    </row>
    <row r="34" spans="1:51" hidden="1" x14ac:dyDescent="0.3">
      <c r="A34" s="45">
        <v>44163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44">
        <v>167</v>
      </c>
      <c r="AY34" s="138"/>
    </row>
    <row r="35" spans="1:51" hidden="1" x14ac:dyDescent="0.3">
      <c r="A35" s="45">
        <v>44164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44">
        <v>140</v>
      </c>
      <c r="AY35" s="138"/>
    </row>
    <row r="36" spans="1:51" hidden="1" x14ac:dyDescent="0.3">
      <c r="A36" s="45">
        <v>44165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44">
        <v>100</v>
      </c>
      <c r="AY36" s="138"/>
    </row>
    <row r="37" spans="1:51" hidden="1" x14ac:dyDescent="0.3">
      <c r="A37" s="45">
        <v>44166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44">
        <v>100</v>
      </c>
      <c r="AY37" s="138"/>
    </row>
    <row r="38" spans="1:51" hidden="1" x14ac:dyDescent="0.3">
      <c r="A38" s="45">
        <v>44167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44">
        <v>180</v>
      </c>
      <c r="AY38" s="138"/>
    </row>
    <row r="39" spans="1:51" hidden="1" x14ac:dyDescent="0.3">
      <c r="A39" s="45">
        <v>44168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44">
        <v>140</v>
      </c>
      <c r="AY39" s="138"/>
    </row>
    <row r="40" spans="1:51" hidden="1" x14ac:dyDescent="0.3">
      <c r="A40" s="45">
        <v>44169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44">
        <v>115</v>
      </c>
      <c r="AY40" s="138"/>
    </row>
    <row r="41" spans="1:51" hidden="1" x14ac:dyDescent="0.3">
      <c r="A41" s="45">
        <v>44170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44">
        <v>132</v>
      </c>
      <c r="AY41" s="138"/>
    </row>
    <row r="42" spans="1:51" hidden="1" x14ac:dyDescent="0.3">
      <c r="A42" s="45">
        <v>44171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44">
        <v>120</v>
      </c>
      <c r="AY42" s="138"/>
    </row>
    <row r="43" spans="1:51" hidden="1" x14ac:dyDescent="0.3">
      <c r="A43" s="45">
        <v>44172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44">
        <v>128</v>
      </c>
      <c r="AY43" s="138"/>
    </row>
    <row r="44" spans="1:51" hidden="1" x14ac:dyDescent="0.3">
      <c r="A44" s="45">
        <v>44173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44">
        <v>60</v>
      </c>
      <c r="AY44" s="138"/>
    </row>
    <row r="45" spans="1:51" hidden="1" x14ac:dyDescent="0.3">
      <c r="A45" s="45">
        <v>44174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44">
        <v>131</v>
      </c>
      <c r="AY45" s="138"/>
    </row>
    <row r="46" spans="1:51" hidden="1" x14ac:dyDescent="0.3">
      <c r="A46" s="45">
        <v>44175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44">
        <v>181</v>
      </c>
      <c r="AY46" s="138"/>
    </row>
    <row r="47" spans="1:51" hidden="1" x14ac:dyDescent="0.3">
      <c r="A47" s="45">
        <v>44176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44">
        <v>160</v>
      </c>
      <c r="AY47" s="138"/>
    </row>
    <row r="48" spans="1:51" hidden="1" x14ac:dyDescent="0.3">
      <c r="A48" s="45">
        <v>44177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44">
        <v>140</v>
      </c>
      <c r="AY48" s="138"/>
    </row>
    <row r="49" spans="1:52" hidden="1" x14ac:dyDescent="0.3">
      <c r="A49" s="45">
        <v>44178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44">
        <v>120</v>
      </c>
      <c r="AY49" s="138"/>
    </row>
    <row r="50" spans="1:52" hidden="1" x14ac:dyDescent="0.3">
      <c r="A50" s="45">
        <v>44179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44">
        <v>80</v>
      </c>
      <c r="AY50" s="138"/>
    </row>
    <row r="51" spans="1:52" hidden="1" x14ac:dyDescent="0.3">
      <c r="A51" s="45">
        <v>44180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44">
        <v>80</v>
      </c>
      <c r="AY51" s="138"/>
    </row>
    <row r="52" spans="1:52" hidden="1" x14ac:dyDescent="0.3">
      <c r="A52" s="45">
        <v>44181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44">
        <v>140</v>
      </c>
      <c r="AY52" s="138"/>
    </row>
    <row r="53" spans="1:52" hidden="1" x14ac:dyDescent="0.3">
      <c r="A53" s="45">
        <v>44182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44">
        <v>120</v>
      </c>
      <c r="AY53" s="138"/>
    </row>
    <row r="54" spans="1:52" hidden="1" x14ac:dyDescent="0.3">
      <c r="A54" s="45">
        <v>44183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44">
        <v>120</v>
      </c>
      <c r="AY54" s="138"/>
    </row>
    <row r="55" spans="1:52" hidden="1" x14ac:dyDescent="0.3">
      <c r="A55" s="45">
        <v>44184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44">
        <v>146</v>
      </c>
      <c r="AY55" s="138"/>
    </row>
    <row r="56" spans="1:52" hidden="1" x14ac:dyDescent="0.3">
      <c r="A56" s="45">
        <v>44185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44">
        <v>128</v>
      </c>
      <c r="AY56" s="138"/>
    </row>
    <row r="57" spans="1:52" hidden="1" x14ac:dyDescent="0.3">
      <c r="A57" s="45">
        <v>44186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44">
        <v>128</v>
      </c>
      <c r="AY57" s="138"/>
    </row>
    <row r="58" spans="1:52" hidden="1" x14ac:dyDescent="0.3">
      <c r="A58" s="45">
        <v>44187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44">
        <v>120</v>
      </c>
      <c r="AY58" s="138"/>
    </row>
    <row r="59" spans="1:52" hidden="1" x14ac:dyDescent="0.3">
      <c r="A59" s="45">
        <v>44188</v>
      </c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44">
        <v>102</v>
      </c>
      <c r="AY59" s="138"/>
      <c r="AZ59" s="143" t="s">
        <v>75</v>
      </c>
    </row>
    <row r="60" spans="1:52" hidden="1" x14ac:dyDescent="0.3">
      <c r="A60" s="45">
        <v>44189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44">
        <v>182</v>
      </c>
      <c r="AY60" s="138"/>
    </row>
    <row r="61" spans="1:52" hidden="1" x14ac:dyDescent="0.3">
      <c r="A61" s="45">
        <v>44190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44">
        <v>162</v>
      </c>
      <c r="AY61" s="138"/>
    </row>
    <row r="62" spans="1:52" hidden="1" x14ac:dyDescent="0.3">
      <c r="A62" s="45">
        <v>44191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44">
        <v>140</v>
      </c>
      <c r="AY62" s="138"/>
    </row>
    <row r="63" spans="1:52" hidden="1" x14ac:dyDescent="0.3">
      <c r="A63" s="45">
        <v>44192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44">
        <v>120</v>
      </c>
      <c r="AY63" s="138"/>
    </row>
    <row r="64" spans="1:52" hidden="1" x14ac:dyDescent="0.3">
      <c r="A64" s="45">
        <v>44193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44">
        <v>96</v>
      </c>
      <c r="AY64" s="138"/>
    </row>
    <row r="65" spans="1:52" hidden="1" x14ac:dyDescent="0.3">
      <c r="A65" s="45">
        <v>44194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44">
        <v>76</v>
      </c>
      <c r="AY65" s="138"/>
      <c r="AZ65" s="143" t="s">
        <v>76</v>
      </c>
    </row>
    <row r="66" spans="1:52" hidden="1" x14ac:dyDescent="0.3">
      <c r="A66" s="45">
        <v>44195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44">
        <v>108</v>
      </c>
      <c r="AY66" s="138"/>
      <c r="AZ66" s="143" t="s">
        <v>76</v>
      </c>
    </row>
    <row r="67" spans="1:52" hidden="1" x14ac:dyDescent="0.3">
      <c r="A67" s="45">
        <v>44196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44">
        <v>110</v>
      </c>
      <c r="AY67" s="138"/>
      <c r="AZ67" s="143" t="s">
        <v>75</v>
      </c>
    </row>
    <row r="68" spans="1:52" hidden="1" x14ac:dyDescent="0.3">
      <c r="A68" s="45">
        <v>44197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44">
        <v>190</v>
      </c>
      <c r="AY68" s="138"/>
    </row>
    <row r="69" spans="1:52" hidden="1" x14ac:dyDescent="0.3">
      <c r="A69" s="45">
        <v>44198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44">
        <v>167</v>
      </c>
      <c r="AY69" s="138"/>
    </row>
    <row r="70" spans="1:52" hidden="1" x14ac:dyDescent="0.3">
      <c r="A70" s="45">
        <v>44199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37">
        <v>144</v>
      </c>
      <c r="AY70" s="138"/>
    </row>
    <row r="71" spans="1:52" hidden="1" x14ac:dyDescent="0.3">
      <c r="A71" s="45">
        <v>44200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44"/>
      <c r="AX71" s="145">
        <v>124</v>
      </c>
      <c r="AY71" s="138"/>
    </row>
    <row r="72" spans="1:52" hidden="1" x14ac:dyDescent="0.3">
      <c r="A72" s="45">
        <v>44201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44"/>
      <c r="AX72" s="145">
        <v>84</v>
      </c>
      <c r="AY72" s="138"/>
    </row>
    <row r="73" spans="1:52" hidden="1" x14ac:dyDescent="0.3">
      <c r="A73" s="45">
        <v>44202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44"/>
      <c r="AX73" s="145">
        <v>144</v>
      </c>
      <c r="AY73" s="138"/>
    </row>
    <row r="74" spans="1:52" hidden="1" x14ac:dyDescent="0.3">
      <c r="A74" s="45">
        <v>44203</v>
      </c>
      <c r="AX74" s="145">
        <v>124</v>
      </c>
    </row>
    <row r="75" spans="1:52" hidden="1" x14ac:dyDescent="0.3">
      <c r="A75" s="45">
        <v>44204</v>
      </c>
      <c r="AX75" s="145">
        <v>124</v>
      </c>
    </row>
    <row r="76" spans="1:52" hidden="1" x14ac:dyDescent="0.3">
      <c r="A76" s="45">
        <v>44205</v>
      </c>
      <c r="AX76" s="145">
        <v>89</v>
      </c>
    </row>
    <row r="77" spans="1:52" hidden="1" x14ac:dyDescent="0.3">
      <c r="A77" s="45">
        <v>44206</v>
      </c>
      <c r="AX77" s="145">
        <v>74</v>
      </c>
    </row>
    <row r="78" spans="1:52" hidden="1" x14ac:dyDescent="0.3">
      <c r="A78" s="45">
        <v>44207</v>
      </c>
      <c r="AX78" s="145">
        <v>60</v>
      </c>
    </row>
    <row r="79" spans="1:52" hidden="1" x14ac:dyDescent="0.3">
      <c r="A79" s="45">
        <v>44208</v>
      </c>
      <c r="AX79" s="145">
        <v>60</v>
      </c>
    </row>
    <row r="80" spans="1:52" hidden="1" x14ac:dyDescent="0.3">
      <c r="A80" s="45">
        <v>44209</v>
      </c>
      <c r="AX80" s="145">
        <v>130</v>
      </c>
    </row>
    <row r="81" spans="1:50" hidden="1" x14ac:dyDescent="0.3">
      <c r="A81" s="45">
        <v>44210</v>
      </c>
      <c r="AX81" s="145">
        <v>170</v>
      </c>
    </row>
    <row r="82" spans="1:50" hidden="1" x14ac:dyDescent="0.3">
      <c r="A82" s="45">
        <v>44211</v>
      </c>
      <c r="AX82" s="145">
        <v>120</v>
      </c>
    </row>
    <row r="83" spans="1:50" hidden="1" x14ac:dyDescent="0.3">
      <c r="A83" s="45">
        <v>44212</v>
      </c>
      <c r="AX83" s="145">
        <v>140</v>
      </c>
    </row>
    <row r="84" spans="1:50" hidden="1" x14ac:dyDescent="0.3">
      <c r="A84" s="45">
        <v>44213</v>
      </c>
      <c r="AX84" s="145">
        <v>120</v>
      </c>
    </row>
    <row r="85" spans="1:50" hidden="1" x14ac:dyDescent="0.3">
      <c r="A85" s="45">
        <v>44214</v>
      </c>
      <c r="AX85" s="145">
        <v>100</v>
      </c>
    </row>
    <row r="86" spans="1:50" hidden="1" x14ac:dyDescent="0.3">
      <c r="A86" s="45">
        <v>44215</v>
      </c>
      <c r="AX86" s="145">
        <v>80</v>
      </c>
    </row>
    <row r="87" spans="1:50" hidden="1" x14ac:dyDescent="0.3">
      <c r="A87" s="45">
        <v>44216</v>
      </c>
      <c r="AX87" s="145">
        <v>200</v>
      </c>
    </row>
    <row r="88" spans="1:50" hidden="1" x14ac:dyDescent="0.3">
      <c r="A88" s="45">
        <v>44217</v>
      </c>
      <c r="AX88" s="145">
        <v>200</v>
      </c>
    </row>
    <row r="89" spans="1:50" hidden="1" x14ac:dyDescent="0.3">
      <c r="A89" s="45">
        <v>44218</v>
      </c>
      <c r="AX89" s="145">
        <v>188</v>
      </c>
    </row>
    <row r="90" spans="1:50" hidden="1" x14ac:dyDescent="0.3">
      <c r="A90" s="45">
        <v>44219</v>
      </c>
      <c r="AX90" s="145">
        <v>140</v>
      </c>
    </row>
    <row r="91" spans="1:50" hidden="1" x14ac:dyDescent="0.3">
      <c r="A91" s="45">
        <v>44220</v>
      </c>
      <c r="AX91" s="145">
        <v>100</v>
      </c>
    </row>
    <row r="92" spans="1:50" hidden="1" x14ac:dyDescent="0.3">
      <c r="A92" s="45">
        <v>44221</v>
      </c>
      <c r="AX92" s="145">
        <v>80</v>
      </c>
    </row>
    <row r="93" spans="1:50" hidden="1" x14ac:dyDescent="0.3">
      <c r="A93" s="45">
        <v>44222</v>
      </c>
      <c r="AX93" s="145">
        <v>80</v>
      </c>
    </row>
    <row r="94" spans="1:50" hidden="1" x14ac:dyDescent="0.3">
      <c r="A94" s="45">
        <v>44223</v>
      </c>
      <c r="AX94" s="145">
        <v>160</v>
      </c>
    </row>
    <row r="95" spans="1:50" hidden="1" x14ac:dyDescent="0.3">
      <c r="A95" s="45">
        <v>44224</v>
      </c>
      <c r="AX95" s="145">
        <v>146</v>
      </c>
    </row>
    <row r="96" spans="1:50" hidden="1" x14ac:dyDescent="0.3">
      <c r="A96" s="45">
        <v>44225</v>
      </c>
      <c r="AX96" s="145">
        <v>146</v>
      </c>
    </row>
    <row r="97" spans="1:50" hidden="1" x14ac:dyDescent="0.3">
      <c r="A97" s="45">
        <v>44226</v>
      </c>
      <c r="AX97" s="145">
        <v>121</v>
      </c>
    </row>
    <row r="98" spans="1:50" hidden="1" x14ac:dyDescent="0.3">
      <c r="A98" s="45">
        <v>44227</v>
      </c>
      <c r="AX98" s="145">
        <v>96</v>
      </c>
    </row>
    <row r="99" spans="1:50" hidden="1" x14ac:dyDescent="0.3">
      <c r="A99" s="45">
        <v>44228</v>
      </c>
      <c r="AX99" s="145">
        <v>80</v>
      </c>
    </row>
    <row r="100" spans="1:50" hidden="1" x14ac:dyDescent="0.3">
      <c r="A100" s="45">
        <v>44229</v>
      </c>
      <c r="AX100" s="145">
        <v>80</v>
      </c>
    </row>
    <row r="101" spans="1:50" hidden="1" x14ac:dyDescent="0.3">
      <c r="A101" s="45">
        <v>44230</v>
      </c>
      <c r="AX101" s="145">
        <v>160</v>
      </c>
    </row>
    <row r="102" spans="1:50" hidden="1" x14ac:dyDescent="0.3">
      <c r="A102" s="45">
        <v>44231</v>
      </c>
      <c r="AX102" s="145">
        <v>130</v>
      </c>
    </row>
    <row r="103" spans="1:50" hidden="1" x14ac:dyDescent="0.3">
      <c r="A103" s="45">
        <v>44232</v>
      </c>
      <c r="AX103" s="145">
        <v>130</v>
      </c>
    </row>
    <row r="104" spans="1:50" hidden="1" x14ac:dyDescent="0.3">
      <c r="A104" s="45">
        <v>44233</v>
      </c>
      <c r="AX104" s="145">
        <v>112</v>
      </c>
    </row>
    <row r="105" spans="1:50" hidden="1" x14ac:dyDescent="0.3">
      <c r="A105" s="45">
        <v>44234</v>
      </c>
      <c r="AX105" s="145">
        <v>94</v>
      </c>
    </row>
    <row r="106" spans="1:50" hidden="1" x14ac:dyDescent="0.3">
      <c r="A106" s="45">
        <v>44235</v>
      </c>
      <c r="AX106" s="145">
        <v>40</v>
      </c>
    </row>
    <row r="107" spans="1:50" hidden="1" x14ac:dyDescent="0.3">
      <c r="A107" s="45">
        <v>44236</v>
      </c>
      <c r="AX107" s="145">
        <v>40</v>
      </c>
    </row>
    <row r="108" spans="1:50" hidden="1" x14ac:dyDescent="0.3">
      <c r="A108" s="45">
        <v>44237</v>
      </c>
      <c r="AX108" s="145">
        <v>170</v>
      </c>
    </row>
    <row r="109" spans="1:50" hidden="1" x14ac:dyDescent="0.3">
      <c r="A109" s="45">
        <v>44238</v>
      </c>
      <c r="AX109" s="145">
        <v>170</v>
      </c>
    </row>
    <row r="110" spans="1:50" hidden="1" x14ac:dyDescent="0.3">
      <c r="A110" s="45">
        <v>44239</v>
      </c>
      <c r="AX110" s="145">
        <v>170</v>
      </c>
    </row>
    <row r="111" spans="1:50" hidden="1" x14ac:dyDescent="0.3">
      <c r="A111" s="45">
        <v>44240</v>
      </c>
      <c r="AX111" s="145">
        <v>160</v>
      </c>
    </row>
    <row r="112" spans="1:50" hidden="1" x14ac:dyDescent="0.3">
      <c r="A112" s="45">
        <v>44241</v>
      </c>
      <c r="AX112" s="145">
        <v>150</v>
      </c>
    </row>
    <row r="113" spans="1:50" hidden="1" x14ac:dyDescent="0.3">
      <c r="A113" s="45">
        <v>44242</v>
      </c>
      <c r="AX113" s="145">
        <v>140</v>
      </c>
    </row>
    <row r="114" spans="1:50" hidden="1" x14ac:dyDescent="0.3">
      <c r="A114" s="45">
        <v>44243</v>
      </c>
      <c r="AX114" s="145">
        <v>130</v>
      </c>
    </row>
    <row r="115" spans="1:50" hidden="1" x14ac:dyDescent="0.3">
      <c r="A115" s="45">
        <v>44244</v>
      </c>
      <c r="AX115" s="145">
        <v>130</v>
      </c>
    </row>
    <row r="116" spans="1:50" hidden="1" x14ac:dyDescent="0.3">
      <c r="A116" s="45">
        <v>44245</v>
      </c>
      <c r="AX116" s="145">
        <v>120</v>
      </c>
    </row>
    <row r="117" spans="1:50" hidden="1" x14ac:dyDescent="0.3">
      <c r="A117" s="45">
        <v>44246</v>
      </c>
      <c r="AX117" s="145">
        <v>120</v>
      </c>
    </row>
    <row r="118" spans="1:50" hidden="1" x14ac:dyDescent="0.3">
      <c r="A118" s="45">
        <v>44247</v>
      </c>
      <c r="AX118" s="145">
        <v>106</v>
      </c>
    </row>
    <row r="119" spans="1:50" hidden="1" x14ac:dyDescent="0.3">
      <c r="A119" s="45">
        <v>44248</v>
      </c>
      <c r="AX119" s="145">
        <v>93</v>
      </c>
    </row>
    <row r="120" spans="1:50" hidden="1" x14ac:dyDescent="0.3">
      <c r="A120" s="45">
        <v>44249</v>
      </c>
      <c r="AX120" s="145">
        <v>80</v>
      </c>
    </row>
    <row r="121" spans="1:50" hidden="1" x14ac:dyDescent="0.3">
      <c r="A121" s="45">
        <v>44250</v>
      </c>
      <c r="AX121" s="145">
        <v>150</v>
      </c>
    </row>
    <row r="122" spans="1:50" hidden="1" x14ac:dyDescent="0.3">
      <c r="A122" s="47">
        <v>44251</v>
      </c>
      <c r="AX122" s="147">
        <v>150</v>
      </c>
    </row>
    <row r="123" spans="1:50" hidden="1" x14ac:dyDescent="0.3">
      <c r="A123" s="148">
        <v>44252</v>
      </c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145">
        <v>130</v>
      </c>
    </row>
    <row r="124" spans="1:50" x14ac:dyDescent="0.3">
      <c r="A124" s="148">
        <v>44253</v>
      </c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145">
        <v>130</v>
      </c>
    </row>
    <row r="125" spans="1:50" x14ac:dyDescent="0.3">
      <c r="A125" s="148">
        <v>44254</v>
      </c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145">
        <v>140</v>
      </c>
    </row>
    <row r="126" spans="1:50" x14ac:dyDescent="0.3">
      <c r="A126" s="148">
        <v>44255</v>
      </c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145">
        <v>150</v>
      </c>
    </row>
    <row r="127" spans="1:50" x14ac:dyDescent="0.3">
      <c r="A127" s="148">
        <v>44256</v>
      </c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145">
        <v>150</v>
      </c>
    </row>
    <row r="128" spans="1:50" x14ac:dyDescent="0.3">
      <c r="A128" s="148">
        <v>44257</v>
      </c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145">
        <v>133</v>
      </c>
    </row>
    <row r="129" spans="1:50" x14ac:dyDescent="0.3">
      <c r="A129" s="148">
        <v>44258</v>
      </c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145">
        <v>133</v>
      </c>
    </row>
    <row r="130" spans="1:50" x14ac:dyDescent="0.3">
      <c r="A130" s="148">
        <v>44259</v>
      </c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145">
        <v>137</v>
      </c>
    </row>
    <row r="131" spans="1:50" x14ac:dyDescent="0.3">
      <c r="A131" s="148">
        <v>44260</v>
      </c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145">
        <v>157</v>
      </c>
    </row>
    <row r="132" spans="1:50" x14ac:dyDescent="0.3">
      <c r="A132" s="148">
        <v>44261</v>
      </c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145">
        <v>172</v>
      </c>
    </row>
    <row r="133" spans="1:50" x14ac:dyDescent="0.3">
      <c r="A133" s="148">
        <v>44262</v>
      </c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145">
        <v>187</v>
      </c>
    </row>
    <row r="134" spans="1:50" x14ac:dyDescent="0.3">
      <c r="A134" s="148">
        <v>44263</v>
      </c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145">
        <v>187</v>
      </c>
    </row>
    <row r="135" spans="1:50" x14ac:dyDescent="0.3">
      <c r="A135" s="148">
        <v>44264</v>
      </c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145">
        <v>177</v>
      </c>
    </row>
    <row r="136" spans="1:50" x14ac:dyDescent="0.3">
      <c r="A136" s="148">
        <v>44265</v>
      </c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145">
        <v>177</v>
      </c>
    </row>
    <row r="137" spans="1:50" x14ac:dyDescent="0.3">
      <c r="A137" s="148">
        <v>44266</v>
      </c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145">
        <v>177</v>
      </c>
    </row>
    <row r="138" spans="1:50" x14ac:dyDescent="0.3">
      <c r="A138" s="148">
        <v>44267</v>
      </c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145">
        <v>177</v>
      </c>
    </row>
    <row r="139" spans="1:50" x14ac:dyDescent="0.3">
      <c r="A139" s="148">
        <v>44268</v>
      </c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145">
        <v>177</v>
      </c>
    </row>
    <row r="140" spans="1:50" x14ac:dyDescent="0.3">
      <c r="A140" s="148">
        <v>44269</v>
      </c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145">
        <v>177</v>
      </c>
    </row>
    <row r="141" spans="1:50" x14ac:dyDescent="0.3">
      <c r="A141" s="148">
        <v>44270</v>
      </c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145">
        <v>179</v>
      </c>
    </row>
    <row r="142" spans="1:50" x14ac:dyDescent="0.3">
      <c r="A142" s="148">
        <v>44271</v>
      </c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145">
        <v>179</v>
      </c>
    </row>
    <row r="143" spans="1:50" x14ac:dyDescent="0.3">
      <c r="A143" s="148">
        <v>44272</v>
      </c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145">
        <v>179</v>
      </c>
    </row>
    <row r="144" spans="1:50" x14ac:dyDescent="0.3">
      <c r="A144" s="148">
        <v>44273</v>
      </c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145"/>
    </row>
    <row r="145" spans="1:50" x14ac:dyDescent="0.3">
      <c r="A145" s="148">
        <v>44274</v>
      </c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145"/>
    </row>
    <row r="146" spans="1:50" x14ac:dyDescent="0.3">
      <c r="A146" s="148">
        <v>44275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145"/>
    </row>
    <row r="147" spans="1:50" x14ac:dyDescent="0.3">
      <c r="A147" s="148">
        <v>44276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145"/>
    </row>
    <row r="148" spans="1:50" x14ac:dyDescent="0.3">
      <c r="A148" s="148">
        <v>44277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145">
        <v>169</v>
      </c>
    </row>
    <row r="149" spans="1:50" x14ac:dyDescent="0.3">
      <c r="A149" s="148">
        <v>44278</v>
      </c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145"/>
    </row>
    <row r="150" spans="1:50" x14ac:dyDescent="0.3">
      <c r="A150" s="148">
        <v>44279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145">
        <v>144</v>
      </c>
    </row>
    <row r="151" spans="1:50" x14ac:dyDescent="0.3">
      <c r="A151" s="148">
        <v>44280</v>
      </c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145"/>
    </row>
    <row r="152" spans="1:50" x14ac:dyDescent="0.3">
      <c r="A152" s="148">
        <v>44281</v>
      </c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145"/>
    </row>
    <row r="153" spans="1:50" x14ac:dyDescent="0.3">
      <c r="A153" s="148">
        <v>44282</v>
      </c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145"/>
    </row>
    <row r="154" spans="1:50" x14ac:dyDescent="0.3">
      <c r="A154" s="148">
        <v>44283</v>
      </c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145"/>
    </row>
    <row r="155" spans="1:50" x14ac:dyDescent="0.3">
      <c r="A155" s="148">
        <v>44284</v>
      </c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145"/>
    </row>
    <row r="156" spans="1:50" x14ac:dyDescent="0.3">
      <c r="A156" s="148">
        <v>44285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145"/>
    </row>
    <row r="157" spans="1:50" x14ac:dyDescent="0.3">
      <c r="A157" s="148">
        <v>44286</v>
      </c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82"/>
      <c r="AW157" s="82"/>
      <c r="AX157" s="145">
        <v>108</v>
      </c>
    </row>
    <row r="158" spans="1:50" x14ac:dyDescent="0.3">
      <c r="A158" s="148">
        <v>44287</v>
      </c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145"/>
    </row>
    <row r="159" spans="1:50" x14ac:dyDescent="0.3">
      <c r="A159" s="148">
        <v>44288</v>
      </c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145"/>
    </row>
    <row r="160" spans="1:50" x14ac:dyDescent="0.3">
      <c r="A160" s="148">
        <v>44289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  <c r="AT160" s="82"/>
      <c r="AU160" s="82"/>
      <c r="AV160" s="82"/>
      <c r="AW160" s="82"/>
      <c r="AX160" s="145"/>
    </row>
    <row r="161" spans="1:50" x14ac:dyDescent="0.3">
      <c r="A161" s="148">
        <v>44290</v>
      </c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145"/>
    </row>
    <row r="162" spans="1:50" x14ac:dyDescent="0.3">
      <c r="A162" s="148">
        <v>44291</v>
      </c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145">
        <v>80</v>
      </c>
    </row>
    <row r="163" spans="1:50" x14ac:dyDescent="0.3">
      <c r="A163" s="148">
        <v>44292</v>
      </c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145"/>
    </row>
    <row r="164" spans="1:50" x14ac:dyDescent="0.3">
      <c r="A164" s="148">
        <v>44293</v>
      </c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145"/>
    </row>
    <row r="165" spans="1:50" x14ac:dyDescent="0.3">
      <c r="A165" s="148">
        <v>44294</v>
      </c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145"/>
    </row>
    <row r="166" spans="1:50" x14ac:dyDescent="0.3">
      <c r="A166" s="148">
        <v>44295</v>
      </c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145"/>
    </row>
    <row r="167" spans="1:50" x14ac:dyDescent="0.3">
      <c r="A167" s="148">
        <v>44296</v>
      </c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145"/>
    </row>
    <row r="168" spans="1:50" x14ac:dyDescent="0.3">
      <c r="A168" s="148">
        <v>44297</v>
      </c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145">
        <v>76</v>
      </c>
    </row>
    <row r="169" spans="1:50" x14ac:dyDescent="0.3">
      <c r="A169" s="148">
        <v>44298</v>
      </c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145"/>
    </row>
    <row r="170" spans="1:50" x14ac:dyDescent="0.3">
      <c r="A170" s="148">
        <v>44299</v>
      </c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/>
      <c r="AW170" s="82"/>
      <c r="AX170" s="145"/>
    </row>
    <row r="171" spans="1:50" x14ac:dyDescent="0.3">
      <c r="A171" s="148">
        <v>44300</v>
      </c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145">
        <v>81</v>
      </c>
    </row>
    <row r="172" spans="1:50" x14ac:dyDescent="0.3">
      <c r="A172" s="148">
        <v>44301</v>
      </c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145"/>
    </row>
    <row r="173" spans="1:50" x14ac:dyDescent="0.3">
      <c r="A173" s="148">
        <v>44302</v>
      </c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145"/>
    </row>
    <row r="174" spans="1:50" x14ac:dyDescent="0.3">
      <c r="A174" s="148">
        <v>44303</v>
      </c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145"/>
    </row>
    <row r="175" spans="1:50" x14ac:dyDescent="0.3">
      <c r="A175" s="148">
        <v>44304</v>
      </c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145">
        <v>73</v>
      </c>
    </row>
    <row r="176" spans="1:50" x14ac:dyDescent="0.3">
      <c r="A176" s="148">
        <v>44305</v>
      </c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145"/>
    </row>
    <row r="177" spans="1:50" x14ac:dyDescent="0.3">
      <c r="A177" s="148">
        <v>44306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X177" s="145"/>
    </row>
    <row r="178" spans="1:50" x14ac:dyDescent="0.3">
      <c r="A178" s="148">
        <v>44307</v>
      </c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X178" s="145"/>
    </row>
    <row r="179" spans="1:50" x14ac:dyDescent="0.3">
      <c r="A179" s="148">
        <v>44308</v>
      </c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145"/>
    </row>
    <row r="180" spans="1:50" x14ac:dyDescent="0.3">
      <c r="A180" s="148">
        <v>44309</v>
      </c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X180" s="145"/>
    </row>
    <row r="181" spans="1:50" x14ac:dyDescent="0.3">
      <c r="A181" s="148">
        <v>44310</v>
      </c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145"/>
    </row>
    <row r="182" spans="1:50" x14ac:dyDescent="0.3">
      <c r="A182" s="148">
        <v>44311</v>
      </c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145">
        <v>84</v>
      </c>
    </row>
    <row r="183" spans="1:50" x14ac:dyDescent="0.3">
      <c r="A183" s="148">
        <v>44312</v>
      </c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145"/>
    </row>
    <row r="184" spans="1:50" x14ac:dyDescent="0.3">
      <c r="A184" s="148">
        <v>44313</v>
      </c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145"/>
    </row>
    <row r="185" spans="1:50" x14ac:dyDescent="0.3">
      <c r="A185" s="148">
        <v>44314</v>
      </c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145"/>
    </row>
    <row r="186" spans="1:50" x14ac:dyDescent="0.3">
      <c r="A186" s="148">
        <v>44315</v>
      </c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145"/>
    </row>
    <row r="187" spans="1:50" x14ac:dyDescent="0.3">
      <c r="A187" s="148">
        <v>44316</v>
      </c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145"/>
    </row>
    <row r="188" spans="1:50" x14ac:dyDescent="0.3">
      <c r="A188" s="148">
        <v>44317</v>
      </c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145"/>
    </row>
    <row r="189" spans="1:50" x14ac:dyDescent="0.3">
      <c r="A189" s="148">
        <v>44318</v>
      </c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145"/>
    </row>
    <row r="190" spans="1:50" x14ac:dyDescent="0.3">
      <c r="A190" s="148">
        <v>44319</v>
      </c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145"/>
    </row>
    <row r="191" spans="1:50" x14ac:dyDescent="0.3">
      <c r="A191" s="148">
        <v>44320</v>
      </c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145"/>
    </row>
    <row r="192" spans="1:50" x14ac:dyDescent="0.3">
      <c r="A192" s="148">
        <v>44321</v>
      </c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145"/>
    </row>
    <row r="193" spans="1:50" x14ac:dyDescent="0.3">
      <c r="A193" s="148">
        <v>44322</v>
      </c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145"/>
    </row>
    <row r="194" spans="1:50" x14ac:dyDescent="0.3">
      <c r="A194" s="148">
        <v>44323</v>
      </c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145"/>
    </row>
    <row r="195" spans="1:50" x14ac:dyDescent="0.3">
      <c r="A195" s="148">
        <v>44324</v>
      </c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145"/>
    </row>
    <row r="196" spans="1:50" x14ac:dyDescent="0.3">
      <c r="A196" s="148">
        <v>44325</v>
      </c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145"/>
    </row>
    <row r="197" spans="1:50" x14ac:dyDescent="0.3">
      <c r="A197" s="148">
        <v>44326</v>
      </c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145"/>
    </row>
    <row r="198" spans="1:50" x14ac:dyDescent="0.3">
      <c r="A198" s="148">
        <v>44327</v>
      </c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145"/>
    </row>
    <row r="199" spans="1:50" x14ac:dyDescent="0.3">
      <c r="A199" s="148">
        <v>44328</v>
      </c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145"/>
    </row>
    <row r="200" spans="1:50" x14ac:dyDescent="0.3">
      <c r="A200" s="148">
        <v>44329</v>
      </c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145"/>
    </row>
    <row r="201" spans="1:50" x14ac:dyDescent="0.3">
      <c r="A201" s="148">
        <v>44330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X201" s="145"/>
    </row>
    <row r="202" spans="1:50" x14ac:dyDescent="0.3">
      <c r="A202" s="148">
        <v>44331</v>
      </c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2"/>
      <c r="AO202" s="82"/>
      <c r="AP202" s="82"/>
      <c r="AQ202" s="82"/>
      <c r="AR202" s="82"/>
      <c r="AS202" s="82"/>
      <c r="AT202" s="82"/>
      <c r="AU202" s="82"/>
      <c r="AV202" s="82"/>
      <c r="AW202" s="82"/>
      <c r="AX202" s="145"/>
    </row>
    <row r="203" spans="1:50" x14ac:dyDescent="0.3">
      <c r="A203" s="148">
        <v>44332</v>
      </c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  <c r="AN203" s="82"/>
      <c r="AO203" s="82"/>
      <c r="AP203" s="82"/>
      <c r="AQ203" s="82"/>
      <c r="AR203" s="82"/>
      <c r="AS203" s="82"/>
      <c r="AT203" s="82"/>
      <c r="AU203" s="82"/>
      <c r="AV203" s="82"/>
      <c r="AW203" s="82"/>
      <c r="AX203" s="145"/>
    </row>
    <row r="204" spans="1:50" x14ac:dyDescent="0.3">
      <c r="A204" s="148">
        <v>44333</v>
      </c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  <c r="AN204" s="82"/>
      <c r="AO204" s="82"/>
      <c r="AP204" s="82"/>
      <c r="AQ204" s="82"/>
      <c r="AR204" s="82"/>
      <c r="AS204" s="82"/>
      <c r="AT204" s="82"/>
      <c r="AU204" s="82"/>
      <c r="AV204" s="82"/>
      <c r="AW204" s="82"/>
      <c r="AX204" s="145"/>
    </row>
    <row r="205" spans="1:50" x14ac:dyDescent="0.3">
      <c r="A205" s="148">
        <v>44334</v>
      </c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  <c r="AN205" s="82"/>
      <c r="AO205" s="82"/>
      <c r="AP205" s="82"/>
      <c r="AQ205" s="82"/>
      <c r="AR205" s="82"/>
      <c r="AS205" s="82"/>
      <c r="AT205" s="82"/>
      <c r="AU205" s="82"/>
      <c r="AV205" s="82"/>
      <c r="AW205" s="82"/>
      <c r="AX205" s="145"/>
    </row>
    <row r="206" spans="1:50" x14ac:dyDescent="0.3">
      <c r="A206" s="148">
        <v>44335</v>
      </c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  <c r="AN206" s="82"/>
      <c r="AO206" s="82"/>
      <c r="AP206" s="82"/>
      <c r="AQ206" s="82"/>
      <c r="AR206" s="82"/>
      <c r="AS206" s="82"/>
      <c r="AT206" s="82"/>
      <c r="AU206" s="82"/>
      <c r="AV206" s="82"/>
      <c r="AW206" s="82"/>
      <c r="AX206" s="145"/>
    </row>
    <row r="207" spans="1:50" x14ac:dyDescent="0.3">
      <c r="A207" s="148">
        <v>44336</v>
      </c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  <c r="AN207" s="82"/>
      <c r="AO207" s="82"/>
      <c r="AP207" s="82"/>
      <c r="AQ207" s="82"/>
      <c r="AR207" s="82"/>
      <c r="AS207" s="82"/>
      <c r="AT207" s="82"/>
      <c r="AU207" s="82"/>
      <c r="AV207" s="82"/>
      <c r="AW207" s="82"/>
      <c r="AX207" s="145"/>
    </row>
    <row r="208" spans="1:50" x14ac:dyDescent="0.3">
      <c r="A208" s="148">
        <v>44337</v>
      </c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  <c r="AF208" s="82"/>
      <c r="AG208" s="82"/>
      <c r="AH208" s="82"/>
      <c r="AI208" s="82"/>
      <c r="AJ208" s="82"/>
      <c r="AK208" s="82"/>
      <c r="AL208" s="82"/>
      <c r="AM208" s="82"/>
      <c r="AN208" s="82"/>
      <c r="AO208" s="82"/>
      <c r="AP208" s="82"/>
      <c r="AQ208" s="82"/>
      <c r="AR208" s="82"/>
      <c r="AS208" s="82"/>
      <c r="AT208" s="82"/>
      <c r="AU208" s="82"/>
      <c r="AV208" s="82"/>
      <c r="AW208" s="82"/>
      <c r="AX208" s="145"/>
    </row>
    <row r="209" spans="1:50" x14ac:dyDescent="0.3">
      <c r="A209" s="148">
        <v>44338</v>
      </c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T209" s="82"/>
      <c r="AU209" s="82"/>
      <c r="AV209" s="82"/>
      <c r="AW209" s="82"/>
      <c r="AX209" s="145"/>
    </row>
    <row r="210" spans="1:50" x14ac:dyDescent="0.3">
      <c r="A210" s="148">
        <v>44339</v>
      </c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  <c r="AF210" s="82"/>
      <c r="AG210" s="82"/>
      <c r="AH210" s="82"/>
      <c r="AI210" s="82"/>
      <c r="AJ210" s="82"/>
      <c r="AK210" s="82"/>
      <c r="AL210" s="82"/>
      <c r="AM210" s="82"/>
      <c r="AN210" s="82"/>
      <c r="AO210" s="82"/>
      <c r="AP210" s="82"/>
      <c r="AQ210" s="82"/>
      <c r="AR210" s="82"/>
      <c r="AS210" s="82"/>
      <c r="AT210" s="82"/>
      <c r="AU210" s="82"/>
      <c r="AV210" s="82"/>
      <c r="AW210" s="82"/>
      <c r="AX210" s="145"/>
    </row>
    <row r="211" spans="1:50" x14ac:dyDescent="0.3">
      <c r="A211" s="148">
        <v>44340</v>
      </c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  <c r="AF211" s="82"/>
      <c r="AG211" s="82"/>
      <c r="AH211" s="82"/>
      <c r="AI211" s="82"/>
      <c r="AJ211" s="82"/>
      <c r="AK211" s="82"/>
      <c r="AL211" s="82"/>
      <c r="AM211" s="82"/>
      <c r="AN211" s="82"/>
      <c r="AO211" s="82"/>
      <c r="AP211" s="82"/>
      <c r="AQ211" s="82"/>
      <c r="AR211" s="82"/>
      <c r="AS211" s="82"/>
      <c r="AT211" s="82"/>
      <c r="AU211" s="82"/>
      <c r="AV211" s="82"/>
      <c r="AW211" s="82"/>
      <c r="AX211" s="145"/>
    </row>
    <row r="212" spans="1:50" x14ac:dyDescent="0.3">
      <c r="A212" s="148">
        <v>44341</v>
      </c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  <c r="AF212" s="82"/>
      <c r="AG212" s="82"/>
      <c r="AH212" s="82"/>
      <c r="AI212" s="82"/>
      <c r="AJ212" s="82"/>
      <c r="AK212" s="82"/>
      <c r="AL212" s="82"/>
      <c r="AM212" s="82"/>
      <c r="AN212" s="82"/>
      <c r="AO212" s="82"/>
      <c r="AP212" s="82"/>
      <c r="AQ212" s="82"/>
      <c r="AR212" s="82"/>
      <c r="AS212" s="82"/>
      <c r="AT212" s="82"/>
      <c r="AU212" s="82"/>
      <c r="AV212" s="82"/>
      <c r="AW212" s="82"/>
      <c r="AX212" s="145"/>
    </row>
    <row r="213" spans="1:50" x14ac:dyDescent="0.3">
      <c r="A213" s="148">
        <v>44342</v>
      </c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145"/>
    </row>
    <row r="214" spans="1:50" x14ac:dyDescent="0.3">
      <c r="A214" s="148">
        <v>44343</v>
      </c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  <c r="AN214" s="82"/>
      <c r="AO214" s="82"/>
      <c r="AP214" s="82"/>
      <c r="AQ214" s="82"/>
      <c r="AR214" s="82"/>
      <c r="AS214" s="82"/>
      <c r="AT214" s="82"/>
      <c r="AU214" s="82"/>
      <c r="AV214" s="82"/>
      <c r="AW214" s="82"/>
      <c r="AX214" s="145"/>
    </row>
    <row r="215" spans="1:50" x14ac:dyDescent="0.3">
      <c r="A215" s="148">
        <v>44344</v>
      </c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  <c r="AA215" s="82"/>
      <c r="AB215" s="82"/>
      <c r="AC215" s="82"/>
      <c r="AD215" s="82"/>
      <c r="AE215" s="82"/>
      <c r="AF215" s="82"/>
      <c r="AG215" s="82"/>
      <c r="AH215" s="82"/>
      <c r="AI215" s="82"/>
      <c r="AJ215" s="82"/>
      <c r="AK215" s="82"/>
      <c r="AL215" s="82"/>
      <c r="AM215" s="82"/>
      <c r="AN215" s="82"/>
      <c r="AO215" s="82"/>
      <c r="AP215" s="82"/>
      <c r="AQ215" s="82"/>
      <c r="AR215" s="82"/>
      <c r="AS215" s="82"/>
      <c r="AT215" s="82"/>
      <c r="AU215" s="82"/>
      <c r="AV215" s="82"/>
      <c r="AW215" s="82"/>
      <c r="AX215" s="145"/>
    </row>
    <row r="216" spans="1:50" x14ac:dyDescent="0.3">
      <c r="A216" s="148">
        <v>44345</v>
      </c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  <c r="AG216" s="82"/>
      <c r="AH216" s="82"/>
      <c r="AI216" s="82"/>
      <c r="AJ216" s="82"/>
      <c r="AK216" s="82"/>
      <c r="AL216" s="82"/>
      <c r="AM216" s="82"/>
      <c r="AN216" s="82"/>
      <c r="AO216" s="82"/>
      <c r="AP216" s="82"/>
      <c r="AQ216" s="82"/>
      <c r="AR216" s="82"/>
      <c r="AS216" s="82"/>
      <c r="AT216" s="82"/>
      <c r="AU216" s="82"/>
      <c r="AV216" s="82"/>
      <c r="AW216" s="82"/>
      <c r="AX216" s="145"/>
    </row>
    <row r="217" spans="1:50" x14ac:dyDescent="0.3">
      <c r="A217" s="148">
        <v>44346</v>
      </c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2"/>
      <c r="AR217" s="82"/>
      <c r="AS217" s="82"/>
      <c r="AT217" s="82"/>
      <c r="AU217" s="82"/>
      <c r="AV217" s="82"/>
      <c r="AW217" s="82"/>
      <c r="AX217" s="145"/>
    </row>
    <row r="218" spans="1:50" x14ac:dyDescent="0.3">
      <c r="A218" s="148">
        <v>44347</v>
      </c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  <c r="AF218" s="82"/>
      <c r="AG218" s="82"/>
      <c r="AH218" s="82"/>
      <c r="AI218" s="82"/>
      <c r="AJ218" s="82"/>
      <c r="AK218" s="82"/>
      <c r="AL218" s="82"/>
      <c r="AM218" s="82"/>
      <c r="AN218" s="82"/>
      <c r="AO218" s="82"/>
      <c r="AP218" s="82"/>
      <c r="AQ218" s="82"/>
      <c r="AR218" s="82"/>
      <c r="AS218" s="82"/>
      <c r="AT218" s="82"/>
      <c r="AU218" s="82"/>
      <c r="AV218" s="82"/>
      <c r="AW218" s="82"/>
      <c r="AX218" s="145"/>
    </row>
    <row r="219" spans="1:50" x14ac:dyDescent="0.3">
      <c r="A219" s="148">
        <v>44348</v>
      </c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  <c r="AF219" s="82"/>
      <c r="AG219" s="82"/>
      <c r="AH219" s="82"/>
      <c r="AI219" s="82"/>
      <c r="AJ219" s="82"/>
      <c r="AK219" s="82"/>
      <c r="AL219" s="82"/>
      <c r="AM219" s="82"/>
      <c r="AN219" s="82"/>
      <c r="AO219" s="82"/>
      <c r="AP219" s="82"/>
      <c r="AQ219" s="82"/>
      <c r="AR219" s="82"/>
      <c r="AS219" s="82"/>
      <c r="AT219" s="82"/>
      <c r="AU219" s="82"/>
      <c r="AV219" s="82"/>
      <c r="AW219" s="82"/>
      <c r="AX219" s="145"/>
    </row>
    <row r="220" spans="1:50" x14ac:dyDescent="0.3">
      <c r="A220" s="148">
        <v>44349</v>
      </c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2"/>
      <c r="AP220" s="82"/>
      <c r="AQ220" s="82"/>
      <c r="AR220" s="82"/>
      <c r="AS220" s="82"/>
      <c r="AT220" s="82"/>
      <c r="AU220" s="82"/>
      <c r="AV220" s="82"/>
      <c r="AW220" s="82"/>
      <c r="AX220" s="145"/>
    </row>
    <row r="221" spans="1:50" x14ac:dyDescent="0.3">
      <c r="A221" s="148">
        <v>44350</v>
      </c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T221" s="82"/>
      <c r="AU221" s="82"/>
      <c r="AV221" s="82"/>
      <c r="AW221" s="82"/>
      <c r="AX221" s="145"/>
    </row>
    <row r="222" spans="1:50" x14ac:dyDescent="0.3">
      <c r="A222" s="148">
        <v>44351</v>
      </c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82"/>
      <c r="AC222" s="82"/>
      <c r="AD222" s="82"/>
      <c r="AE222" s="82"/>
      <c r="AF222" s="82"/>
      <c r="AG222" s="82"/>
      <c r="AH222" s="82"/>
      <c r="AI222" s="82"/>
      <c r="AJ222" s="82"/>
      <c r="AK222" s="82"/>
      <c r="AL222" s="82"/>
      <c r="AM222" s="82"/>
      <c r="AN222" s="82"/>
      <c r="AO222" s="82"/>
      <c r="AP222" s="82"/>
      <c r="AQ222" s="82"/>
      <c r="AR222" s="82"/>
      <c r="AS222" s="82"/>
      <c r="AT222" s="82"/>
      <c r="AU222" s="82"/>
      <c r="AV222" s="82"/>
      <c r="AW222" s="82"/>
      <c r="AX222" s="145"/>
    </row>
    <row r="223" spans="1:50" x14ac:dyDescent="0.3">
      <c r="A223" s="148">
        <v>44352</v>
      </c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  <c r="AN223" s="82"/>
      <c r="AO223" s="82"/>
      <c r="AP223" s="82"/>
      <c r="AQ223" s="82"/>
      <c r="AR223" s="82"/>
      <c r="AS223" s="82"/>
      <c r="AT223" s="82"/>
      <c r="AU223" s="82"/>
      <c r="AV223" s="82"/>
      <c r="AW223" s="82"/>
      <c r="AX223" s="145"/>
    </row>
    <row r="224" spans="1:50" x14ac:dyDescent="0.3">
      <c r="A224" s="148">
        <v>44353</v>
      </c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82"/>
      <c r="AC224" s="82"/>
      <c r="AD224" s="82"/>
      <c r="AE224" s="82"/>
      <c r="AF224" s="82"/>
      <c r="AG224" s="82"/>
      <c r="AH224" s="82"/>
      <c r="AI224" s="82"/>
      <c r="AJ224" s="82"/>
      <c r="AK224" s="82"/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145"/>
    </row>
    <row r="225" spans="1:50" x14ac:dyDescent="0.3">
      <c r="A225" s="148">
        <v>44354</v>
      </c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2"/>
      <c r="AR225" s="82"/>
      <c r="AS225" s="82"/>
      <c r="AT225" s="82"/>
      <c r="AU225" s="82"/>
      <c r="AV225" s="82"/>
      <c r="AW225" s="82"/>
      <c r="AX225" s="145"/>
    </row>
    <row r="226" spans="1:50" x14ac:dyDescent="0.3">
      <c r="A226" s="148">
        <v>44355</v>
      </c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2"/>
      <c r="AP226" s="82"/>
      <c r="AQ226" s="82"/>
      <c r="AR226" s="82"/>
      <c r="AS226" s="82"/>
      <c r="AT226" s="82"/>
      <c r="AU226" s="82"/>
      <c r="AV226" s="82"/>
      <c r="AW226" s="82"/>
      <c r="AX226" s="145"/>
    </row>
    <row r="227" spans="1:50" x14ac:dyDescent="0.3">
      <c r="A227" s="148">
        <v>44356</v>
      </c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2"/>
      <c r="AE227" s="82"/>
      <c r="AF227" s="82"/>
      <c r="AG227" s="82"/>
      <c r="AH227" s="82"/>
      <c r="AI227" s="82"/>
      <c r="AJ227" s="82"/>
      <c r="AK227" s="82"/>
      <c r="AL227" s="82"/>
      <c r="AM227" s="82"/>
      <c r="AN227" s="82"/>
      <c r="AO227" s="82"/>
      <c r="AP227" s="82"/>
      <c r="AQ227" s="82"/>
      <c r="AR227" s="82"/>
      <c r="AS227" s="82"/>
      <c r="AT227" s="82"/>
      <c r="AU227" s="82"/>
      <c r="AV227" s="82"/>
      <c r="AW227" s="82"/>
      <c r="AX227" s="145"/>
    </row>
    <row r="228" spans="1:50" x14ac:dyDescent="0.3">
      <c r="A228" s="148">
        <v>44357</v>
      </c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2"/>
      <c r="AP228" s="82"/>
      <c r="AQ228" s="82"/>
      <c r="AR228" s="82"/>
      <c r="AS228" s="82"/>
      <c r="AT228" s="82"/>
      <c r="AU228" s="82"/>
      <c r="AV228" s="82"/>
      <c r="AW228" s="82"/>
      <c r="AX228" s="145"/>
    </row>
    <row r="229" spans="1:50" x14ac:dyDescent="0.3">
      <c r="A229" s="148">
        <v>44358</v>
      </c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2"/>
      <c r="AO229" s="82"/>
      <c r="AP229" s="82"/>
      <c r="AQ229" s="82"/>
      <c r="AR229" s="82"/>
      <c r="AS229" s="82"/>
      <c r="AT229" s="82"/>
      <c r="AU229" s="82"/>
      <c r="AV229" s="82"/>
      <c r="AW229" s="82"/>
      <c r="AX229" s="145"/>
    </row>
    <row r="230" spans="1:50" x14ac:dyDescent="0.3">
      <c r="A230" s="148">
        <v>44359</v>
      </c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  <c r="AG230" s="82"/>
      <c r="AH230" s="82"/>
      <c r="AI230" s="82"/>
      <c r="AJ230" s="82"/>
      <c r="AK230" s="82"/>
      <c r="AL230" s="82"/>
      <c r="AM230" s="82"/>
      <c r="AN230" s="82"/>
      <c r="AO230" s="82"/>
      <c r="AP230" s="82"/>
      <c r="AQ230" s="82"/>
      <c r="AR230" s="82"/>
      <c r="AS230" s="82"/>
      <c r="AT230" s="82"/>
      <c r="AU230" s="82"/>
      <c r="AV230" s="82"/>
      <c r="AW230" s="82"/>
      <c r="AX230" s="145"/>
    </row>
    <row r="231" spans="1:50" x14ac:dyDescent="0.3">
      <c r="A231" s="148">
        <v>44360</v>
      </c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  <c r="AN231" s="82"/>
      <c r="AO231" s="82"/>
      <c r="AP231" s="82"/>
      <c r="AQ231" s="82"/>
      <c r="AR231" s="82"/>
      <c r="AS231" s="82"/>
      <c r="AT231" s="82"/>
      <c r="AU231" s="82"/>
      <c r="AV231" s="82"/>
      <c r="AW231" s="82"/>
      <c r="AX231" s="145"/>
    </row>
    <row r="232" spans="1:50" x14ac:dyDescent="0.3">
      <c r="A232" s="148">
        <v>44361</v>
      </c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82"/>
      <c r="AC232" s="82"/>
      <c r="AD232" s="82"/>
      <c r="AE232" s="82"/>
      <c r="AF232" s="82"/>
      <c r="AG232" s="82"/>
      <c r="AH232" s="82"/>
      <c r="AI232" s="82"/>
      <c r="AJ232" s="82"/>
      <c r="AK232" s="82"/>
      <c r="AL232" s="82"/>
      <c r="AM232" s="82"/>
      <c r="AN232" s="82"/>
      <c r="AO232" s="82"/>
      <c r="AP232" s="82"/>
      <c r="AQ232" s="82"/>
      <c r="AR232" s="82"/>
      <c r="AS232" s="82"/>
      <c r="AT232" s="82"/>
      <c r="AU232" s="82"/>
      <c r="AV232" s="82"/>
      <c r="AW232" s="82"/>
      <c r="AX232" s="145"/>
    </row>
    <row r="233" spans="1:50" x14ac:dyDescent="0.3">
      <c r="A233" s="148">
        <v>44362</v>
      </c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B233" s="82"/>
      <c r="AC233" s="82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  <c r="AN233" s="82"/>
      <c r="AO233" s="82"/>
      <c r="AP233" s="82"/>
      <c r="AQ233" s="82"/>
      <c r="AR233" s="82"/>
      <c r="AS233" s="82"/>
      <c r="AT233" s="82"/>
      <c r="AU233" s="82"/>
      <c r="AV233" s="82"/>
      <c r="AW233" s="82"/>
      <c r="AX233" s="145"/>
    </row>
    <row r="234" spans="1:50" x14ac:dyDescent="0.3">
      <c r="A234" s="148">
        <v>44363</v>
      </c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2"/>
      <c r="AU234" s="82"/>
      <c r="AV234" s="82"/>
      <c r="AW234" s="82"/>
      <c r="AX234" s="145"/>
    </row>
    <row r="235" spans="1:50" x14ac:dyDescent="0.3">
      <c r="A235" s="148">
        <v>44364</v>
      </c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  <c r="AN235" s="82"/>
      <c r="AO235" s="82"/>
      <c r="AP235" s="82"/>
      <c r="AQ235" s="82"/>
      <c r="AR235" s="82"/>
      <c r="AS235" s="82"/>
      <c r="AT235" s="82"/>
      <c r="AU235" s="82"/>
      <c r="AV235" s="82"/>
      <c r="AW235" s="82"/>
      <c r="AX235" s="145"/>
    </row>
    <row r="236" spans="1:50" x14ac:dyDescent="0.3">
      <c r="A236" s="148">
        <v>44365</v>
      </c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145"/>
    </row>
    <row r="237" spans="1:50" x14ac:dyDescent="0.3">
      <c r="A237" s="148">
        <v>44366</v>
      </c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82"/>
      <c r="AP237" s="82"/>
      <c r="AQ237" s="82"/>
      <c r="AR237" s="82"/>
      <c r="AS237" s="82"/>
      <c r="AT237" s="82"/>
      <c r="AU237" s="82"/>
      <c r="AV237" s="82"/>
      <c r="AW237" s="82"/>
      <c r="AX237" s="145"/>
    </row>
    <row r="238" spans="1:50" x14ac:dyDescent="0.3">
      <c r="A238" s="148">
        <v>44367</v>
      </c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  <c r="AC238" s="82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  <c r="AN238" s="82"/>
      <c r="AO238" s="82"/>
      <c r="AP238" s="82"/>
      <c r="AQ238" s="82"/>
      <c r="AR238" s="82"/>
      <c r="AS238" s="82"/>
      <c r="AT238" s="82"/>
      <c r="AU238" s="82"/>
      <c r="AV238" s="82"/>
      <c r="AW238" s="82"/>
      <c r="AX238" s="145"/>
    </row>
    <row r="239" spans="1:50" x14ac:dyDescent="0.3">
      <c r="A239" s="148">
        <v>44368</v>
      </c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82"/>
      <c r="AC239" s="82"/>
      <c r="AD239" s="82"/>
      <c r="AE239" s="82"/>
      <c r="AF239" s="82"/>
      <c r="AG239" s="82"/>
      <c r="AH239" s="82"/>
      <c r="AI239" s="82"/>
      <c r="AJ239" s="82"/>
      <c r="AK239" s="82"/>
      <c r="AL239" s="82"/>
      <c r="AM239" s="82"/>
      <c r="AN239" s="82"/>
      <c r="AO239" s="82"/>
      <c r="AP239" s="82"/>
      <c r="AQ239" s="82"/>
      <c r="AR239" s="82"/>
      <c r="AS239" s="82"/>
      <c r="AT239" s="82"/>
      <c r="AU239" s="82"/>
      <c r="AV239" s="82"/>
      <c r="AW239" s="82"/>
      <c r="AX239" s="145"/>
    </row>
    <row r="240" spans="1:50" x14ac:dyDescent="0.3">
      <c r="A240" s="148">
        <v>44369</v>
      </c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  <c r="AN240" s="82"/>
      <c r="AO240" s="82"/>
      <c r="AP240" s="82"/>
      <c r="AQ240" s="82"/>
      <c r="AR240" s="82"/>
      <c r="AS240" s="82"/>
      <c r="AT240" s="82"/>
      <c r="AU240" s="82"/>
      <c r="AV240" s="82"/>
      <c r="AW240" s="82"/>
      <c r="AX240" s="145"/>
    </row>
    <row r="241" spans="1:50" x14ac:dyDescent="0.3">
      <c r="A241" s="148">
        <v>44370</v>
      </c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2"/>
      <c r="AE241" s="82"/>
      <c r="AF241" s="82"/>
      <c r="AG241" s="82"/>
      <c r="AH241" s="82"/>
      <c r="AI241" s="82"/>
      <c r="AJ241" s="82"/>
      <c r="AK241" s="82"/>
      <c r="AL241" s="82"/>
      <c r="AM241" s="82"/>
      <c r="AN241" s="82"/>
      <c r="AO241" s="82"/>
      <c r="AP241" s="82"/>
      <c r="AQ241" s="82"/>
      <c r="AR241" s="82"/>
      <c r="AS241" s="82"/>
      <c r="AT241" s="82"/>
      <c r="AU241" s="82"/>
      <c r="AV241" s="82"/>
      <c r="AW241" s="82"/>
      <c r="AX241" s="145"/>
    </row>
    <row r="242" spans="1:50" x14ac:dyDescent="0.3">
      <c r="A242" s="148">
        <v>44371</v>
      </c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  <c r="AG242" s="82"/>
      <c r="AH242" s="82"/>
      <c r="AI242" s="82"/>
      <c r="AJ242" s="82"/>
      <c r="AK242" s="82"/>
      <c r="AL242" s="82"/>
      <c r="AM242" s="82"/>
      <c r="AN242" s="82"/>
      <c r="AO242" s="82"/>
      <c r="AP242" s="82"/>
      <c r="AQ242" s="82"/>
      <c r="AR242" s="82"/>
      <c r="AS242" s="82"/>
      <c r="AT242" s="82"/>
      <c r="AU242" s="82"/>
      <c r="AV242" s="82"/>
      <c r="AW242" s="82"/>
      <c r="AX242" s="145"/>
    </row>
    <row r="243" spans="1:50" x14ac:dyDescent="0.3">
      <c r="A243" s="148">
        <v>44372</v>
      </c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  <c r="AN243" s="82"/>
      <c r="AO243" s="82"/>
      <c r="AP243" s="82"/>
      <c r="AQ243" s="82"/>
      <c r="AR243" s="82"/>
      <c r="AS243" s="82"/>
      <c r="AT243" s="82"/>
      <c r="AU243" s="82"/>
      <c r="AV243" s="82"/>
      <c r="AW243" s="82"/>
      <c r="AX243" s="145"/>
    </row>
    <row r="244" spans="1:50" x14ac:dyDescent="0.3">
      <c r="A244" s="148">
        <v>44373</v>
      </c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  <c r="AF244" s="82"/>
      <c r="AG244" s="82"/>
      <c r="AH244" s="82"/>
      <c r="AI244" s="82"/>
      <c r="AJ244" s="82"/>
      <c r="AK244" s="82"/>
      <c r="AL244" s="82"/>
      <c r="AM244" s="82"/>
      <c r="AN244" s="82"/>
      <c r="AO244" s="82"/>
      <c r="AP244" s="82"/>
      <c r="AQ244" s="82"/>
      <c r="AR244" s="82"/>
      <c r="AS244" s="82"/>
      <c r="AT244" s="82"/>
      <c r="AU244" s="82"/>
      <c r="AV244" s="82"/>
      <c r="AW244" s="82"/>
      <c r="AX244" s="145"/>
    </row>
    <row r="245" spans="1:50" x14ac:dyDescent="0.3">
      <c r="A245" s="148">
        <v>44374</v>
      </c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  <c r="AF245" s="82"/>
      <c r="AG245" s="82"/>
      <c r="AH245" s="82"/>
      <c r="AI245" s="82"/>
      <c r="AJ245" s="82"/>
      <c r="AK245" s="82"/>
      <c r="AL245" s="82"/>
      <c r="AM245" s="82"/>
      <c r="AN245" s="82"/>
      <c r="AO245" s="82"/>
      <c r="AP245" s="82"/>
      <c r="AQ245" s="82"/>
      <c r="AR245" s="82"/>
      <c r="AS245" s="82"/>
      <c r="AT245" s="82"/>
      <c r="AU245" s="82"/>
      <c r="AV245" s="82"/>
      <c r="AW245" s="82"/>
      <c r="AX245" s="145"/>
    </row>
    <row r="246" spans="1:50" x14ac:dyDescent="0.3">
      <c r="A246" s="148">
        <v>44375</v>
      </c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  <c r="AC246" s="82"/>
      <c r="AD246" s="82"/>
      <c r="AE246" s="82"/>
      <c r="AF246" s="82"/>
      <c r="AG246" s="82"/>
      <c r="AH246" s="82"/>
      <c r="AI246" s="82"/>
      <c r="AJ246" s="82"/>
      <c r="AK246" s="82"/>
      <c r="AL246" s="82"/>
      <c r="AM246" s="82"/>
      <c r="AN246" s="82"/>
      <c r="AO246" s="82"/>
      <c r="AP246" s="82"/>
      <c r="AQ246" s="82"/>
      <c r="AR246" s="82"/>
      <c r="AS246" s="82"/>
      <c r="AT246" s="82"/>
      <c r="AU246" s="82"/>
      <c r="AV246" s="82"/>
      <c r="AW246" s="82"/>
      <c r="AX246" s="145"/>
    </row>
    <row r="247" spans="1:50" x14ac:dyDescent="0.3">
      <c r="A247" s="148">
        <v>44376</v>
      </c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  <c r="AC247" s="82"/>
      <c r="AD247" s="82"/>
      <c r="AE247" s="82"/>
      <c r="AF247" s="82"/>
      <c r="AG247" s="82"/>
      <c r="AH247" s="82"/>
      <c r="AI247" s="82"/>
      <c r="AJ247" s="82"/>
      <c r="AK247" s="82"/>
      <c r="AL247" s="82"/>
      <c r="AM247" s="82"/>
      <c r="AN247" s="82"/>
      <c r="AO247" s="82"/>
      <c r="AP247" s="82"/>
      <c r="AQ247" s="82"/>
      <c r="AR247" s="82"/>
      <c r="AS247" s="82"/>
      <c r="AT247" s="82"/>
      <c r="AU247" s="82"/>
      <c r="AV247" s="82"/>
      <c r="AW247" s="82"/>
      <c r="AX247" s="145"/>
    </row>
    <row r="248" spans="1:50" x14ac:dyDescent="0.3">
      <c r="A248" s="148">
        <v>44377</v>
      </c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  <c r="AN248" s="82"/>
      <c r="AO248" s="82"/>
      <c r="AP248" s="82"/>
      <c r="AQ248" s="82"/>
      <c r="AR248" s="82"/>
      <c r="AS248" s="82"/>
      <c r="AT248" s="82"/>
      <c r="AU248" s="82"/>
      <c r="AV248" s="82"/>
      <c r="AW248" s="82"/>
      <c r="AX248" s="145"/>
    </row>
    <row r="249" spans="1:50" x14ac:dyDescent="0.3">
      <c r="A249" s="148">
        <v>44378</v>
      </c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  <c r="AG249" s="82"/>
      <c r="AH249" s="82"/>
      <c r="AI249" s="82"/>
      <c r="AJ249" s="82"/>
      <c r="AK249" s="82"/>
      <c r="AL249" s="82"/>
      <c r="AM249" s="82"/>
      <c r="AN249" s="82"/>
      <c r="AO249" s="82"/>
      <c r="AP249" s="82"/>
      <c r="AQ249" s="82"/>
      <c r="AR249" s="82"/>
      <c r="AS249" s="82"/>
      <c r="AT249" s="82"/>
      <c r="AU249" s="82"/>
      <c r="AV249" s="82"/>
      <c r="AW249" s="82"/>
      <c r="AX249" s="145"/>
    </row>
    <row r="250" spans="1:50" x14ac:dyDescent="0.3">
      <c r="A250" s="148">
        <v>44379</v>
      </c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  <c r="AC250" s="82"/>
      <c r="AD250" s="82"/>
      <c r="AE250" s="82"/>
      <c r="AF250" s="82"/>
      <c r="AG250" s="82"/>
      <c r="AH250" s="82"/>
      <c r="AI250" s="82"/>
      <c r="AJ250" s="82"/>
      <c r="AK250" s="82"/>
      <c r="AL250" s="82"/>
      <c r="AM250" s="82"/>
      <c r="AN250" s="82"/>
      <c r="AO250" s="82"/>
      <c r="AP250" s="82"/>
      <c r="AQ250" s="82"/>
      <c r="AR250" s="82"/>
      <c r="AS250" s="82"/>
      <c r="AT250" s="82"/>
      <c r="AU250" s="82"/>
      <c r="AV250" s="82"/>
      <c r="AW250" s="82"/>
      <c r="AX250" s="145"/>
    </row>
    <row r="251" spans="1:50" x14ac:dyDescent="0.3">
      <c r="A251" s="148">
        <v>44380</v>
      </c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  <c r="AN251" s="82"/>
      <c r="AO251" s="82"/>
      <c r="AP251" s="82"/>
      <c r="AQ251" s="82"/>
      <c r="AR251" s="82"/>
      <c r="AS251" s="82"/>
      <c r="AT251" s="82"/>
      <c r="AU251" s="82"/>
      <c r="AV251" s="82"/>
      <c r="AW251" s="82"/>
      <c r="AX251" s="145"/>
    </row>
    <row r="252" spans="1:50" x14ac:dyDescent="0.3">
      <c r="A252" s="148">
        <v>44381</v>
      </c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  <c r="AA252" s="82"/>
      <c r="AB252" s="82"/>
      <c r="AC252" s="82"/>
      <c r="AD252" s="82"/>
      <c r="AE252" s="82"/>
      <c r="AF252" s="82"/>
      <c r="AG252" s="82"/>
      <c r="AH252" s="82"/>
      <c r="AI252" s="82"/>
      <c r="AJ252" s="82"/>
      <c r="AK252" s="82"/>
      <c r="AL252" s="82"/>
      <c r="AM252" s="82"/>
      <c r="AN252" s="82"/>
      <c r="AO252" s="82"/>
      <c r="AP252" s="82"/>
      <c r="AQ252" s="82"/>
      <c r="AR252" s="82"/>
      <c r="AS252" s="82"/>
      <c r="AT252" s="82"/>
      <c r="AU252" s="82"/>
      <c r="AV252" s="82"/>
      <c r="AW252" s="82"/>
      <c r="AX252" s="145"/>
    </row>
    <row r="253" spans="1:50" x14ac:dyDescent="0.3">
      <c r="A253" s="148">
        <v>44382</v>
      </c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  <c r="AN253" s="82"/>
      <c r="AO253" s="82"/>
      <c r="AP253" s="82"/>
      <c r="AQ253" s="82"/>
      <c r="AR253" s="82"/>
      <c r="AS253" s="82"/>
      <c r="AT253" s="82"/>
      <c r="AU253" s="82"/>
      <c r="AV253" s="82"/>
      <c r="AW253" s="82"/>
      <c r="AX253" s="145"/>
    </row>
    <row r="254" spans="1:50" x14ac:dyDescent="0.3">
      <c r="A254" s="148">
        <v>44383</v>
      </c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  <c r="AN254" s="82"/>
      <c r="AO254" s="82"/>
      <c r="AP254" s="82"/>
      <c r="AQ254" s="82"/>
      <c r="AR254" s="82"/>
      <c r="AS254" s="82"/>
      <c r="AT254" s="82"/>
      <c r="AU254" s="82"/>
      <c r="AV254" s="82"/>
      <c r="AW254" s="82"/>
      <c r="AX254" s="145"/>
    </row>
    <row r="255" spans="1:50" x14ac:dyDescent="0.3">
      <c r="A255" s="148">
        <v>44384</v>
      </c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2"/>
      <c r="AE255" s="82"/>
      <c r="AF255" s="82"/>
      <c r="AG255" s="82"/>
      <c r="AH255" s="82"/>
      <c r="AI255" s="82"/>
      <c r="AJ255" s="82"/>
      <c r="AK255" s="82"/>
      <c r="AL255" s="82"/>
      <c r="AM255" s="82"/>
      <c r="AN255" s="82"/>
      <c r="AO255" s="82"/>
      <c r="AP255" s="82"/>
      <c r="AQ255" s="82"/>
      <c r="AR255" s="82"/>
      <c r="AS255" s="82"/>
      <c r="AT255" s="82"/>
      <c r="AU255" s="82"/>
      <c r="AV255" s="82"/>
      <c r="AW255" s="82"/>
      <c r="AX255" s="145"/>
    </row>
    <row r="256" spans="1:50" x14ac:dyDescent="0.3">
      <c r="A256" s="148">
        <v>44385</v>
      </c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82"/>
      <c r="AP256" s="82"/>
      <c r="AQ256" s="82"/>
      <c r="AR256" s="82"/>
      <c r="AS256" s="82"/>
      <c r="AT256" s="82"/>
      <c r="AU256" s="82"/>
      <c r="AV256" s="82"/>
      <c r="AW256" s="82"/>
      <c r="AX256" s="145"/>
    </row>
    <row r="257" spans="1:50" x14ac:dyDescent="0.3">
      <c r="A257" s="148">
        <v>44386</v>
      </c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  <c r="AN257" s="82"/>
      <c r="AO257" s="82"/>
      <c r="AP257" s="82"/>
      <c r="AQ257" s="82"/>
      <c r="AR257" s="82"/>
      <c r="AS257" s="82"/>
      <c r="AT257" s="82"/>
      <c r="AU257" s="82"/>
      <c r="AV257" s="82"/>
      <c r="AW257" s="82"/>
      <c r="AX257" s="145"/>
    </row>
    <row r="258" spans="1:50" x14ac:dyDescent="0.3">
      <c r="A258" s="148">
        <v>44387</v>
      </c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  <c r="AF258" s="82"/>
      <c r="AG258" s="82"/>
      <c r="AH258" s="82"/>
      <c r="AI258" s="82"/>
      <c r="AJ258" s="82"/>
      <c r="AK258" s="82"/>
      <c r="AL258" s="82"/>
      <c r="AM258" s="82"/>
      <c r="AN258" s="82"/>
      <c r="AO258" s="82"/>
      <c r="AP258" s="82"/>
      <c r="AQ258" s="82"/>
      <c r="AR258" s="82"/>
      <c r="AS258" s="82"/>
      <c r="AT258" s="82"/>
      <c r="AU258" s="82"/>
      <c r="AV258" s="82"/>
      <c r="AW258" s="82"/>
      <c r="AX258" s="145"/>
    </row>
    <row r="259" spans="1:50" x14ac:dyDescent="0.3">
      <c r="A259" s="148">
        <v>44388</v>
      </c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  <c r="AR259" s="82"/>
      <c r="AS259" s="82"/>
      <c r="AT259" s="82"/>
      <c r="AU259" s="82"/>
      <c r="AV259" s="82"/>
      <c r="AW259" s="82"/>
      <c r="AX259" s="145"/>
    </row>
    <row r="260" spans="1:50" x14ac:dyDescent="0.3">
      <c r="A260" s="148">
        <v>44389</v>
      </c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  <c r="AC260" s="82"/>
      <c r="AD260" s="82"/>
      <c r="AE260" s="82"/>
      <c r="AF260" s="82"/>
      <c r="AG260" s="82"/>
      <c r="AH260" s="82"/>
      <c r="AI260" s="82"/>
      <c r="AJ260" s="82"/>
      <c r="AK260" s="82"/>
      <c r="AL260" s="82"/>
      <c r="AM260" s="82"/>
      <c r="AN260" s="82"/>
      <c r="AO260" s="82"/>
      <c r="AP260" s="82"/>
      <c r="AQ260" s="82"/>
      <c r="AR260" s="82"/>
      <c r="AS260" s="82"/>
      <c r="AT260" s="82"/>
      <c r="AU260" s="82"/>
      <c r="AV260" s="82"/>
      <c r="AW260" s="82"/>
      <c r="AX260" s="145"/>
    </row>
    <row r="261" spans="1:50" x14ac:dyDescent="0.3">
      <c r="A261" s="148">
        <v>44390</v>
      </c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82"/>
      <c r="AC261" s="82"/>
      <c r="AD261" s="82"/>
      <c r="AE261" s="82"/>
      <c r="AF261" s="82"/>
      <c r="AG261" s="82"/>
      <c r="AH261" s="82"/>
      <c r="AI261" s="82"/>
      <c r="AJ261" s="82"/>
      <c r="AK261" s="82"/>
      <c r="AL261" s="82"/>
      <c r="AM261" s="82"/>
      <c r="AN261" s="82"/>
      <c r="AO261" s="82"/>
      <c r="AP261" s="82"/>
      <c r="AQ261" s="82"/>
      <c r="AR261" s="82"/>
      <c r="AS261" s="82"/>
      <c r="AT261" s="82"/>
      <c r="AU261" s="82"/>
      <c r="AV261" s="82"/>
      <c r="AW261" s="82"/>
      <c r="AX261" s="145"/>
    </row>
    <row r="262" spans="1:50" x14ac:dyDescent="0.3">
      <c r="A262" s="148">
        <v>44391</v>
      </c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  <c r="AN262" s="82"/>
      <c r="AO262" s="82"/>
      <c r="AP262" s="82"/>
      <c r="AQ262" s="82"/>
      <c r="AR262" s="82"/>
      <c r="AS262" s="82"/>
      <c r="AT262" s="82"/>
      <c r="AU262" s="82"/>
      <c r="AV262" s="82"/>
      <c r="AW262" s="82"/>
      <c r="AX262" s="145"/>
    </row>
    <row r="263" spans="1:50" x14ac:dyDescent="0.3">
      <c r="A263" s="148">
        <v>44392</v>
      </c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  <c r="AN263" s="82"/>
      <c r="AO263" s="82"/>
      <c r="AP263" s="82"/>
      <c r="AQ263" s="82"/>
      <c r="AR263" s="82"/>
      <c r="AS263" s="82"/>
      <c r="AT263" s="82"/>
      <c r="AU263" s="82"/>
      <c r="AV263" s="82"/>
      <c r="AW263" s="82"/>
      <c r="AX263" s="145"/>
    </row>
    <row r="264" spans="1:50" x14ac:dyDescent="0.3">
      <c r="A264" s="148">
        <v>44393</v>
      </c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  <c r="AN264" s="82"/>
      <c r="AO264" s="82"/>
      <c r="AP264" s="82"/>
      <c r="AQ264" s="82"/>
      <c r="AR264" s="82"/>
      <c r="AS264" s="82"/>
      <c r="AT264" s="82"/>
      <c r="AU264" s="82"/>
      <c r="AV264" s="82"/>
      <c r="AW264" s="82"/>
      <c r="AX264" s="145"/>
    </row>
    <row r="265" spans="1:50" x14ac:dyDescent="0.3">
      <c r="A265" s="148">
        <v>44394</v>
      </c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  <c r="AN265" s="82"/>
      <c r="AO265" s="82"/>
      <c r="AP265" s="82"/>
      <c r="AQ265" s="82"/>
      <c r="AR265" s="82"/>
      <c r="AS265" s="82"/>
      <c r="AT265" s="82"/>
      <c r="AU265" s="82"/>
      <c r="AV265" s="82"/>
      <c r="AW265" s="82"/>
      <c r="AX265" s="145"/>
    </row>
    <row r="266" spans="1:50" x14ac:dyDescent="0.3">
      <c r="A266" s="148">
        <v>44395</v>
      </c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  <c r="AN266" s="82"/>
      <c r="AO266" s="82"/>
      <c r="AP266" s="82"/>
      <c r="AQ266" s="82"/>
      <c r="AR266" s="82"/>
      <c r="AS266" s="82"/>
      <c r="AT266" s="82"/>
      <c r="AU266" s="82"/>
      <c r="AV266" s="82"/>
      <c r="AW266" s="82"/>
      <c r="AX266" s="145"/>
    </row>
    <row r="267" spans="1:50" x14ac:dyDescent="0.3">
      <c r="A267" s="148">
        <v>44396</v>
      </c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  <c r="AN267" s="82"/>
      <c r="AO267" s="82"/>
      <c r="AP267" s="82"/>
      <c r="AQ267" s="82"/>
      <c r="AR267" s="82"/>
      <c r="AS267" s="82"/>
      <c r="AT267" s="82"/>
      <c r="AU267" s="82"/>
      <c r="AV267" s="82"/>
      <c r="AW267" s="82"/>
      <c r="AX267" s="145"/>
    </row>
    <row r="268" spans="1:50" x14ac:dyDescent="0.3">
      <c r="A268" s="148">
        <v>44397</v>
      </c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  <c r="AN268" s="82"/>
      <c r="AO268" s="82"/>
      <c r="AP268" s="82"/>
      <c r="AQ268" s="82"/>
      <c r="AR268" s="82"/>
      <c r="AS268" s="82"/>
      <c r="AT268" s="82"/>
      <c r="AU268" s="82"/>
      <c r="AV268" s="82"/>
      <c r="AW268" s="82"/>
      <c r="AX268" s="145"/>
    </row>
    <row r="269" spans="1:50" x14ac:dyDescent="0.3">
      <c r="A269" s="148">
        <v>44398</v>
      </c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  <c r="AN269" s="82"/>
      <c r="AO269" s="82"/>
      <c r="AP269" s="82"/>
      <c r="AQ269" s="82"/>
      <c r="AR269" s="82"/>
      <c r="AS269" s="82"/>
      <c r="AT269" s="82"/>
      <c r="AU269" s="82"/>
      <c r="AV269" s="82"/>
      <c r="AW269" s="82"/>
      <c r="AX269" s="145"/>
    </row>
    <row r="270" spans="1:50" x14ac:dyDescent="0.3">
      <c r="A270" s="148">
        <v>44399</v>
      </c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  <c r="AA270" s="82"/>
      <c r="AB270" s="82"/>
      <c r="AC270" s="82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  <c r="AN270" s="82"/>
      <c r="AO270" s="82"/>
      <c r="AP270" s="82"/>
      <c r="AQ270" s="82"/>
      <c r="AR270" s="82"/>
      <c r="AS270" s="82"/>
      <c r="AT270" s="82"/>
      <c r="AU270" s="82"/>
      <c r="AV270" s="82"/>
      <c r="AW270" s="82"/>
      <c r="AX270" s="145"/>
    </row>
    <row r="271" spans="1:50" x14ac:dyDescent="0.3">
      <c r="A271" s="148">
        <v>44400</v>
      </c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  <c r="AN271" s="82"/>
      <c r="AO271" s="82"/>
      <c r="AP271" s="82"/>
      <c r="AQ271" s="82"/>
      <c r="AR271" s="82"/>
      <c r="AS271" s="82"/>
      <c r="AT271" s="82"/>
      <c r="AU271" s="82"/>
      <c r="AV271" s="82"/>
      <c r="AW271" s="82"/>
      <c r="AX271" s="145"/>
    </row>
    <row r="272" spans="1:50" x14ac:dyDescent="0.3">
      <c r="A272" s="148">
        <v>44401</v>
      </c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  <c r="AA272" s="82"/>
      <c r="AB272" s="82"/>
      <c r="AC272" s="82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  <c r="AN272" s="82"/>
      <c r="AO272" s="82"/>
      <c r="AP272" s="82"/>
      <c r="AQ272" s="82"/>
      <c r="AR272" s="82"/>
      <c r="AS272" s="82"/>
      <c r="AT272" s="82"/>
      <c r="AU272" s="82"/>
      <c r="AV272" s="82"/>
      <c r="AW272" s="82"/>
      <c r="AX272" s="145"/>
    </row>
    <row r="273" spans="1:50" x14ac:dyDescent="0.3">
      <c r="A273" s="148">
        <v>44402</v>
      </c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  <c r="AA273" s="82"/>
      <c r="AB273" s="82"/>
      <c r="AC273" s="82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  <c r="AN273" s="82"/>
      <c r="AO273" s="82"/>
      <c r="AP273" s="82"/>
      <c r="AQ273" s="82"/>
      <c r="AR273" s="82"/>
      <c r="AS273" s="82"/>
      <c r="AT273" s="82"/>
      <c r="AU273" s="82"/>
      <c r="AV273" s="82"/>
      <c r="AW273" s="82"/>
      <c r="AX273" s="145"/>
    </row>
    <row r="274" spans="1:50" x14ac:dyDescent="0.3">
      <c r="A274" s="148">
        <v>44403</v>
      </c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  <c r="AN274" s="82"/>
      <c r="AO274" s="82"/>
      <c r="AP274" s="82"/>
      <c r="AQ274" s="82"/>
      <c r="AR274" s="82"/>
      <c r="AS274" s="82"/>
      <c r="AT274" s="82"/>
      <c r="AU274" s="82"/>
      <c r="AV274" s="82"/>
      <c r="AW274" s="82"/>
      <c r="AX274" s="145"/>
    </row>
    <row r="275" spans="1:50" x14ac:dyDescent="0.3">
      <c r="A275" s="148">
        <v>44404</v>
      </c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82"/>
      <c r="AC275" s="82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  <c r="AN275" s="82"/>
      <c r="AO275" s="82"/>
      <c r="AP275" s="82"/>
      <c r="AQ275" s="82"/>
      <c r="AR275" s="82"/>
      <c r="AS275" s="82"/>
      <c r="AT275" s="82"/>
      <c r="AU275" s="82"/>
      <c r="AV275" s="82"/>
      <c r="AW275" s="82"/>
      <c r="AX275" s="145"/>
    </row>
    <row r="276" spans="1:50" x14ac:dyDescent="0.3">
      <c r="A276" s="148">
        <v>44405</v>
      </c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  <c r="AN276" s="82"/>
      <c r="AO276" s="82"/>
      <c r="AP276" s="82"/>
      <c r="AQ276" s="82"/>
      <c r="AR276" s="82"/>
      <c r="AS276" s="82"/>
      <c r="AT276" s="82"/>
      <c r="AU276" s="82"/>
      <c r="AV276" s="82"/>
      <c r="AW276" s="82"/>
      <c r="AX276" s="145"/>
    </row>
    <row r="277" spans="1:50" x14ac:dyDescent="0.3">
      <c r="A277" s="148">
        <v>44406</v>
      </c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82"/>
      <c r="AC277" s="82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  <c r="AN277" s="82"/>
      <c r="AO277" s="82"/>
      <c r="AP277" s="82"/>
      <c r="AQ277" s="82"/>
      <c r="AR277" s="82"/>
      <c r="AS277" s="82"/>
      <c r="AT277" s="82"/>
      <c r="AU277" s="82"/>
      <c r="AV277" s="82"/>
      <c r="AW277" s="82"/>
      <c r="AX277" s="145"/>
    </row>
    <row r="278" spans="1:50" x14ac:dyDescent="0.3">
      <c r="A278" s="148">
        <v>44407</v>
      </c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82"/>
      <c r="AC278" s="82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  <c r="AN278" s="82"/>
      <c r="AO278" s="82"/>
      <c r="AP278" s="82"/>
      <c r="AQ278" s="82"/>
      <c r="AR278" s="82"/>
      <c r="AS278" s="82"/>
      <c r="AT278" s="82"/>
      <c r="AU278" s="82"/>
      <c r="AV278" s="82"/>
      <c r="AW278" s="82"/>
      <c r="AX278" s="1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topLeftCell="A18" workbookViewId="0">
      <selection activeCell="J10" sqref="J10"/>
    </sheetView>
  </sheetViews>
  <sheetFormatPr defaultRowHeight="14.4" x14ac:dyDescent="0.3"/>
  <cols>
    <col min="1" max="2" width="20.6640625" customWidth="1"/>
    <col min="3" max="3" width="27" customWidth="1"/>
    <col min="4" max="4" width="20.6640625" customWidth="1"/>
  </cols>
  <sheetData>
    <row r="1" spans="1:4" ht="30" x14ac:dyDescent="0.3">
      <c r="A1" s="216" t="s">
        <v>77</v>
      </c>
      <c r="B1" s="216"/>
      <c r="C1" s="216"/>
      <c r="D1" s="216"/>
    </row>
    <row r="2" spans="1:4" x14ac:dyDescent="0.3">
      <c r="A2" s="217"/>
      <c r="B2" s="217"/>
      <c r="C2" s="217"/>
      <c r="D2" s="16">
        <v>44048</v>
      </c>
    </row>
    <row r="3" spans="1:4" ht="24.9" customHeight="1" x14ac:dyDescent="0.3">
      <c r="A3" s="210" t="s">
        <v>78</v>
      </c>
      <c r="B3" s="210"/>
      <c r="C3" s="210"/>
      <c r="D3" s="149" t="s">
        <v>79</v>
      </c>
    </row>
    <row r="4" spans="1:4" ht="24.9" customHeight="1" x14ac:dyDescent="0.3">
      <c r="A4" s="211" t="s">
        <v>80</v>
      </c>
      <c r="B4" s="211"/>
      <c r="C4" s="211"/>
      <c r="D4" s="6"/>
    </row>
    <row r="5" spans="1:4" ht="24.9" customHeight="1" x14ac:dyDescent="0.3">
      <c r="A5" s="212" t="s">
        <v>81</v>
      </c>
      <c r="B5" s="212"/>
      <c r="C5" s="212"/>
      <c r="D5" s="8"/>
    </row>
    <row r="6" spans="1:4" ht="24.9" customHeight="1" x14ac:dyDescent="0.3">
      <c r="A6" s="212" t="s">
        <v>82</v>
      </c>
      <c r="B6" s="212"/>
      <c r="C6" s="212"/>
      <c r="D6" s="8"/>
    </row>
    <row r="7" spans="1:4" ht="24.9" customHeight="1" x14ac:dyDescent="0.3">
      <c r="A7" s="213" t="s">
        <v>83</v>
      </c>
      <c r="B7" s="214"/>
      <c r="C7" s="215"/>
      <c r="D7" s="8"/>
    </row>
    <row r="8" spans="1:4" ht="24.9" customHeight="1" x14ac:dyDescent="0.3">
      <c r="A8" s="211" t="s">
        <v>84</v>
      </c>
      <c r="B8" s="211"/>
      <c r="C8" s="211"/>
      <c r="D8" s="9"/>
    </row>
    <row r="9" spans="1:4" ht="24.9" customHeight="1" x14ac:dyDescent="0.3">
      <c r="A9" s="212" t="s">
        <v>85</v>
      </c>
      <c r="B9" s="212"/>
      <c r="C9" s="212"/>
      <c r="D9" s="8"/>
    </row>
    <row r="10" spans="1:4" ht="24.9" customHeight="1" x14ac:dyDescent="0.3">
      <c r="A10" s="212" t="s">
        <v>86</v>
      </c>
      <c r="B10" s="212"/>
      <c r="C10" s="212"/>
      <c r="D10" s="8"/>
    </row>
    <row r="11" spans="1:4" ht="24.9" customHeight="1" x14ac:dyDescent="0.3">
      <c r="A11" s="212" t="s">
        <v>87</v>
      </c>
      <c r="B11" s="212"/>
      <c r="C11" s="212"/>
      <c r="D11" s="8"/>
    </row>
    <row r="12" spans="1:4" ht="24.9" customHeight="1" x14ac:dyDescent="0.3">
      <c r="A12" s="212" t="s">
        <v>88</v>
      </c>
      <c r="B12" s="212"/>
      <c r="C12" s="212"/>
      <c r="D12" s="8"/>
    </row>
    <row r="13" spans="1:4" ht="24.9" customHeight="1" x14ac:dyDescent="0.3">
      <c r="A13" s="212" t="s">
        <v>89</v>
      </c>
      <c r="B13" s="212"/>
      <c r="C13" s="212"/>
      <c r="D13" s="8"/>
    </row>
    <row r="14" spans="1:4" ht="24.9" hidden="1" customHeight="1" x14ac:dyDescent="0.3">
      <c r="A14" s="212" t="s">
        <v>90</v>
      </c>
      <c r="B14" s="212"/>
      <c r="C14" s="212"/>
      <c r="D14" s="10"/>
    </row>
    <row r="15" spans="1:4" ht="24.9" customHeight="1" x14ac:dyDescent="0.3">
      <c r="A15" s="211" t="s">
        <v>43</v>
      </c>
      <c r="B15" s="211"/>
      <c r="C15" s="211"/>
      <c r="D15" s="9"/>
    </row>
    <row r="16" spans="1:4" ht="24.9" customHeight="1" x14ac:dyDescent="0.3">
      <c r="A16" s="212" t="s">
        <v>91</v>
      </c>
      <c r="B16" s="212"/>
      <c r="C16" s="212"/>
      <c r="D16" s="8"/>
    </row>
    <row r="17" spans="1:4" ht="24.9" customHeight="1" x14ac:dyDescent="0.3">
      <c r="A17" s="212" t="s">
        <v>92</v>
      </c>
      <c r="B17" s="212"/>
      <c r="C17" s="212"/>
      <c r="D17" s="8"/>
    </row>
    <row r="18" spans="1:4" ht="24.9" customHeight="1" x14ac:dyDescent="0.3">
      <c r="A18" s="212" t="s">
        <v>93</v>
      </c>
      <c r="B18" s="212"/>
      <c r="C18" s="212"/>
      <c r="D18" s="8"/>
    </row>
    <row r="19" spans="1:4" ht="24.9" customHeight="1" x14ac:dyDescent="0.3">
      <c r="A19" s="211" t="s">
        <v>94</v>
      </c>
      <c r="B19" s="211"/>
      <c r="C19" s="211"/>
      <c r="D19" s="9"/>
    </row>
    <row r="20" spans="1:4" ht="24.9" hidden="1" customHeight="1" x14ac:dyDescent="0.3">
      <c r="A20" s="212" t="s">
        <v>95</v>
      </c>
      <c r="B20" s="212"/>
      <c r="C20" s="212"/>
      <c r="D20" s="8"/>
    </row>
    <row r="21" spans="1:4" ht="24.9" customHeight="1" x14ac:dyDescent="0.3">
      <c r="A21" s="212" t="s">
        <v>96</v>
      </c>
      <c r="B21" s="212"/>
      <c r="C21" s="212"/>
      <c r="D21" s="8"/>
    </row>
    <row r="22" spans="1:4" ht="24.9" hidden="1" customHeight="1" x14ac:dyDescent="0.3">
      <c r="A22" s="212" t="s">
        <v>56</v>
      </c>
      <c r="B22" s="212"/>
      <c r="C22" s="212"/>
      <c r="D22" s="8"/>
    </row>
    <row r="23" spans="1:4" ht="24.9" hidden="1" customHeight="1" x14ac:dyDescent="0.3">
      <c r="A23" s="212" t="s">
        <v>97</v>
      </c>
      <c r="B23" s="212"/>
      <c r="C23" s="212"/>
      <c r="D23" s="8"/>
    </row>
    <row r="24" spans="1:4" ht="24.9" customHeight="1" x14ac:dyDescent="0.3">
      <c r="A24" s="212" t="s">
        <v>98</v>
      </c>
      <c r="B24" s="212"/>
      <c r="C24" s="212"/>
      <c r="D24" s="11"/>
    </row>
    <row r="25" spans="1:4" ht="24.9" hidden="1" customHeight="1" x14ac:dyDescent="0.3">
      <c r="A25" s="212" t="s">
        <v>99</v>
      </c>
      <c r="B25" s="212"/>
      <c r="C25" s="212"/>
      <c r="D25" s="7"/>
    </row>
    <row r="26" spans="1:4" ht="24.75" customHeight="1" x14ac:dyDescent="0.3">
      <c r="A26" s="212" t="s">
        <v>100</v>
      </c>
      <c r="B26" s="212"/>
      <c r="C26" s="212"/>
      <c r="D26" s="7"/>
    </row>
    <row r="27" spans="1:4" ht="24.9" customHeight="1" x14ac:dyDescent="0.3">
      <c r="A27" s="13" t="s">
        <v>101</v>
      </c>
      <c r="B27" s="14" t="s">
        <v>102</v>
      </c>
      <c r="C27" s="15" t="s">
        <v>103</v>
      </c>
      <c r="D27" s="12"/>
    </row>
    <row r="28" spans="1:4" x14ac:dyDescent="0.3">
      <c r="A28" s="4"/>
    </row>
    <row r="29" spans="1:4" x14ac:dyDescent="0.3">
      <c r="A29" s="94" t="s">
        <v>104</v>
      </c>
    </row>
    <row r="30" spans="1:4" x14ac:dyDescent="0.3">
      <c r="A30" s="3"/>
    </row>
    <row r="31" spans="1:4" x14ac:dyDescent="0.3">
      <c r="A31" s="4"/>
    </row>
    <row r="32" spans="1:4" x14ac:dyDescent="0.3">
      <c r="A32" s="2"/>
    </row>
    <row r="33" spans="1:1" x14ac:dyDescent="0.3">
      <c r="A33" s="3"/>
    </row>
    <row r="34" spans="1:1" x14ac:dyDescent="0.3">
      <c r="A34" s="3"/>
    </row>
    <row r="35" spans="1:1" x14ac:dyDescent="0.3">
      <c r="A35" s="4"/>
    </row>
    <row r="36" spans="1:1" x14ac:dyDescent="0.3">
      <c r="A36" s="2"/>
    </row>
    <row r="37" spans="1:1" x14ac:dyDescent="0.3">
      <c r="A37" s="3"/>
    </row>
    <row r="38" spans="1:1" x14ac:dyDescent="0.3">
      <c r="A38" s="3"/>
    </row>
    <row r="39" spans="1:1" x14ac:dyDescent="0.3">
      <c r="A39" s="4"/>
    </row>
    <row r="40" spans="1:1" x14ac:dyDescent="0.3">
      <c r="A40" s="2"/>
    </row>
    <row r="41" spans="1:1" x14ac:dyDescent="0.3">
      <c r="A41" s="3"/>
    </row>
    <row r="42" spans="1:1" x14ac:dyDescent="0.3">
      <c r="A42" s="3"/>
    </row>
    <row r="43" spans="1:1" x14ac:dyDescent="0.3">
      <c r="A43" s="3"/>
    </row>
  </sheetData>
  <mergeCells count="26">
    <mergeCell ref="A25:C25"/>
    <mergeCell ref="A26:C26"/>
    <mergeCell ref="A1:D1"/>
    <mergeCell ref="A19:C19"/>
    <mergeCell ref="A20:C20"/>
    <mergeCell ref="A21:C21"/>
    <mergeCell ref="A22:C22"/>
    <mergeCell ref="A23:C23"/>
    <mergeCell ref="A24:C24"/>
    <mergeCell ref="A11:C11"/>
    <mergeCell ref="A12:C12"/>
    <mergeCell ref="A15:C15"/>
    <mergeCell ref="A16:C16"/>
    <mergeCell ref="A17:C17"/>
    <mergeCell ref="A18:C18"/>
    <mergeCell ref="A2:C2"/>
    <mergeCell ref="A13:C13"/>
    <mergeCell ref="A14:C14"/>
    <mergeCell ref="A10:C10"/>
    <mergeCell ref="A7:C7"/>
    <mergeCell ref="A8:C8"/>
    <mergeCell ref="A3:C3"/>
    <mergeCell ref="A4:C4"/>
    <mergeCell ref="A5:C5"/>
    <mergeCell ref="A9:C9"/>
    <mergeCell ref="A6:C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3"/>
  <sheetViews>
    <sheetView workbookViewId="0">
      <selection activeCell="AG13" sqref="AG13:AG14"/>
    </sheetView>
  </sheetViews>
  <sheetFormatPr defaultRowHeight="14.4" x14ac:dyDescent="0.3"/>
  <cols>
    <col min="1" max="1" width="36.109375" customWidth="1"/>
    <col min="2" max="2" width="12.44140625" hidden="1" customWidth="1"/>
    <col min="3" max="20" width="0" hidden="1" customWidth="1"/>
    <col min="30" max="30" width="2.5546875" customWidth="1"/>
    <col min="34" max="34" width="11.44140625" customWidth="1"/>
    <col min="35" max="35" width="33.88671875" customWidth="1"/>
    <col min="39" max="39" width="9" customWidth="1"/>
  </cols>
  <sheetData>
    <row r="1" spans="1:40" ht="43.2" x14ac:dyDescent="0.3">
      <c r="A1" s="82"/>
      <c r="B1" s="83">
        <v>43924</v>
      </c>
      <c r="C1" s="83">
        <v>43925</v>
      </c>
      <c r="D1" s="83">
        <v>43926</v>
      </c>
      <c r="E1" s="84">
        <v>43927</v>
      </c>
      <c r="F1" s="84">
        <v>43929</v>
      </c>
      <c r="G1" s="84">
        <v>43935</v>
      </c>
      <c r="H1" s="84">
        <v>43937</v>
      </c>
      <c r="I1" s="84">
        <v>43941</v>
      </c>
      <c r="J1" s="84">
        <v>43945</v>
      </c>
      <c r="K1" s="84">
        <v>43948</v>
      </c>
      <c r="L1" s="84">
        <v>43951</v>
      </c>
      <c r="M1" s="84">
        <v>43955</v>
      </c>
      <c r="N1" s="84">
        <v>43958</v>
      </c>
      <c r="O1" s="84">
        <v>43964</v>
      </c>
      <c r="P1" s="84">
        <v>43966</v>
      </c>
      <c r="Q1" s="84">
        <v>43971</v>
      </c>
      <c r="R1" s="84">
        <v>43973</v>
      </c>
      <c r="S1" s="84">
        <v>43978</v>
      </c>
      <c r="T1" s="84">
        <v>43985</v>
      </c>
      <c r="U1" s="84">
        <v>43999</v>
      </c>
      <c r="V1" s="84">
        <v>44006</v>
      </c>
      <c r="W1" s="84">
        <v>44012</v>
      </c>
      <c r="X1" s="84">
        <v>44020</v>
      </c>
      <c r="Y1" s="84">
        <v>44027</v>
      </c>
      <c r="Z1" s="84">
        <v>44033</v>
      </c>
      <c r="AA1" s="84">
        <v>44041</v>
      </c>
      <c r="AB1" s="84">
        <v>44048</v>
      </c>
      <c r="AC1" s="84">
        <v>44055</v>
      </c>
      <c r="AD1" s="82"/>
      <c r="AE1" s="81" t="s">
        <v>2</v>
      </c>
      <c r="AF1" s="81" t="s">
        <v>2</v>
      </c>
      <c r="AG1" s="85" t="s">
        <v>3</v>
      </c>
      <c r="AH1" s="81" t="s">
        <v>4</v>
      </c>
      <c r="AI1" s="85" t="s">
        <v>5</v>
      </c>
      <c r="AJ1" s="81" t="s">
        <v>6</v>
      </c>
      <c r="AK1" s="81" t="s">
        <v>7</v>
      </c>
      <c r="AL1" s="82"/>
      <c r="AM1" s="82"/>
      <c r="AN1" s="26"/>
    </row>
    <row r="2" spans="1:40" ht="21" x14ac:dyDescent="0.4">
      <c r="A2" s="64" t="s">
        <v>105</v>
      </c>
      <c r="B2" s="64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>
        <v>6399</v>
      </c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6"/>
      <c r="AF2" s="67"/>
      <c r="AG2" s="68"/>
      <c r="AH2" s="67"/>
      <c r="AI2" s="65"/>
      <c r="AJ2" s="69"/>
      <c r="AK2" s="69"/>
      <c r="AL2" s="65"/>
      <c r="AM2" s="65"/>
      <c r="AN2" s="26"/>
    </row>
    <row r="3" spans="1:40" x14ac:dyDescent="0.3">
      <c r="A3" s="70" t="s">
        <v>106</v>
      </c>
      <c r="B3" s="71">
        <v>6950</v>
      </c>
      <c r="C3" s="71">
        <v>6950</v>
      </c>
      <c r="D3" s="71">
        <v>6950</v>
      </c>
      <c r="E3" s="71">
        <v>6950</v>
      </c>
      <c r="F3" s="71">
        <v>6789</v>
      </c>
      <c r="G3" s="71">
        <v>6549</v>
      </c>
      <c r="H3" s="71">
        <v>6469</v>
      </c>
      <c r="I3" s="71">
        <v>7219</v>
      </c>
      <c r="J3" s="71">
        <v>7206</v>
      </c>
      <c r="K3" s="71">
        <v>6909</v>
      </c>
      <c r="L3" s="71">
        <v>6719</v>
      </c>
      <c r="M3" s="71">
        <v>6619</v>
      </c>
      <c r="N3" s="71">
        <v>5449</v>
      </c>
      <c r="O3" s="71">
        <v>6399</v>
      </c>
      <c r="P3" s="71">
        <v>5799</v>
      </c>
      <c r="Q3" s="71">
        <v>6439</v>
      </c>
      <c r="R3" s="71">
        <v>6389</v>
      </c>
      <c r="S3" s="71">
        <v>6149</v>
      </c>
      <c r="T3" s="71">
        <v>6300</v>
      </c>
      <c r="U3" s="71">
        <v>5810</v>
      </c>
      <c r="V3" s="71">
        <v>5460</v>
      </c>
      <c r="W3" s="71">
        <v>5550</v>
      </c>
      <c r="X3" s="71">
        <v>5560</v>
      </c>
      <c r="Y3" s="71">
        <v>6049</v>
      </c>
      <c r="Z3" s="71">
        <v>6120</v>
      </c>
      <c r="AA3" s="71">
        <v>5810</v>
      </c>
      <c r="AB3" s="71">
        <v>5139</v>
      </c>
      <c r="AC3" s="71">
        <v>5920</v>
      </c>
      <c r="AD3" s="75"/>
      <c r="AE3" s="72">
        <f ca="1">(OFFSET(AE3,0,-2)/11)</f>
        <v>538.18181818181813</v>
      </c>
      <c r="AF3" s="73">
        <f ca="1">SUM(AE3)</f>
        <v>538.18181818181813</v>
      </c>
      <c r="AG3" s="74">
        <v>11</v>
      </c>
      <c r="AH3" s="73">
        <f ca="1">AF3/AG3</f>
        <v>48.925619834710737</v>
      </c>
      <c r="AI3" s="95" t="s">
        <v>107</v>
      </c>
      <c r="AJ3" s="73">
        <f ca="1">(OFFSET(AJ3,0,-8)+OFFSET(AJ3,0,-9)+OFFSET(AJ3,0,-10))/3</f>
        <v>5689.666666666667</v>
      </c>
      <c r="AK3" s="73">
        <f ca="1">(OFFSET(AK3,0,-8))-(OFFSET(AK3,0,-1))</f>
        <v>230.33333333333303</v>
      </c>
      <c r="AL3" s="75"/>
      <c r="AM3" s="75"/>
      <c r="AN3" s="26"/>
    </row>
    <row r="4" spans="1:40" x14ac:dyDescent="0.3">
      <c r="A4" s="76" t="s">
        <v>108</v>
      </c>
      <c r="B4" s="77">
        <v>102</v>
      </c>
      <c r="C4" s="77">
        <v>102</v>
      </c>
      <c r="D4" s="77">
        <v>102</v>
      </c>
      <c r="E4" s="77">
        <v>102</v>
      </c>
      <c r="F4" s="77">
        <v>275</v>
      </c>
      <c r="G4" s="77">
        <v>500</v>
      </c>
      <c r="H4" s="77">
        <v>475</v>
      </c>
      <c r="I4" s="77">
        <v>475</v>
      </c>
      <c r="J4" s="77">
        <v>475</v>
      </c>
      <c r="K4" s="77">
        <v>475</v>
      </c>
      <c r="L4" s="77">
        <v>475</v>
      </c>
      <c r="M4" s="77">
        <v>425</v>
      </c>
      <c r="N4" s="77">
        <v>400</v>
      </c>
      <c r="O4" s="77">
        <v>300</v>
      </c>
      <c r="P4" s="77">
        <v>275</v>
      </c>
      <c r="Q4" s="77">
        <v>275</v>
      </c>
      <c r="R4" s="77">
        <v>275</v>
      </c>
      <c r="S4" s="77">
        <v>175</v>
      </c>
      <c r="T4" s="77">
        <v>275</v>
      </c>
      <c r="U4" s="77">
        <v>150</v>
      </c>
      <c r="V4" s="77">
        <v>225</v>
      </c>
      <c r="W4" s="77">
        <v>300</v>
      </c>
      <c r="X4" s="77">
        <v>325</v>
      </c>
      <c r="Y4" s="77">
        <v>325</v>
      </c>
      <c r="Z4" s="77">
        <v>300</v>
      </c>
      <c r="AA4" s="77">
        <v>350</v>
      </c>
      <c r="AB4" s="77">
        <v>275</v>
      </c>
      <c r="AC4" s="77">
        <v>225</v>
      </c>
      <c r="AD4" s="151"/>
      <c r="AE4" s="78">
        <f ca="1">(OFFSET(AE4,0,-2)/6)</f>
        <v>37.5</v>
      </c>
      <c r="AF4" s="223">
        <f ca="1">SUM(AE4:AE5)</f>
        <v>37.5</v>
      </c>
      <c r="AG4" s="228">
        <v>8</v>
      </c>
      <c r="AH4" s="223">
        <f ca="1">AF4/AG4</f>
        <v>4.6875</v>
      </c>
      <c r="AI4" s="225" t="s">
        <v>109</v>
      </c>
      <c r="AJ4" s="90">
        <f t="shared" ref="AJ4:AJ14" ca="1" si="0">(OFFSET(AJ4,0,-8)+OFFSET(AJ4,0,-9)+OFFSET(AJ4,0,-10))/3</f>
        <v>308.33333333333331</v>
      </c>
      <c r="AK4" s="90">
        <f t="shared" ref="AK4:AK9" ca="1" si="1">(OFFSET(AK4,0,-8))-(OFFSET(AK4,0,-1))</f>
        <v>-83.333333333333314</v>
      </c>
      <c r="AL4" s="151"/>
      <c r="AM4" s="151"/>
      <c r="AN4" s="26"/>
    </row>
    <row r="5" spans="1:40" hidden="1" x14ac:dyDescent="0.3">
      <c r="A5" s="123" t="s">
        <v>110</v>
      </c>
      <c r="B5" s="77">
        <v>39</v>
      </c>
      <c r="C5" s="77">
        <v>39</v>
      </c>
      <c r="D5" s="77">
        <v>39</v>
      </c>
      <c r="E5" s="77">
        <v>39</v>
      </c>
      <c r="F5" s="77">
        <v>17</v>
      </c>
      <c r="G5" s="77">
        <v>24</v>
      </c>
      <c r="H5" s="77">
        <v>28</v>
      </c>
      <c r="I5" s="77">
        <v>53</v>
      </c>
      <c r="J5" s="77">
        <v>63</v>
      </c>
      <c r="K5" s="77">
        <v>43</v>
      </c>
      <c r="L5" s="77">
        <v>23</v>
      </c>
      <c r="M5" s="77">
        <v>42</v>
      </c>
      <c r="N5" s="77">
        <v>30</v>
      </c>
      <c r="O5" s="77">
        <v>0</v>
      </c>
      <c r="P5" s="77"/>
      <c r="Q5" s="77"/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  <c r="AA5" s="77">
        <v>0</v>
      </c>
      <c r="AB5" s="77">
        <v>0</v>
      </c>
      <c r="AC5" s="77">
        <v>0</v>
      </c>
      <c r="AD5" s="151"/>
      <c r="AE5" s="78">
        <f ca="1">(OFFSET(AE5,0,-2)*3)</f>
        <v>0</v>
      </c>
      <c r="AF5" s="224"/>
      <c r="AG5" s="229"/>
      <c r="AH5" s="224"/>
      <c r="AI5" s="226"/>
      <c r="AJ5" s="90">
        <f t="shared" ca="1" si="0"/>
        <v>0</v>
      </c>
      <c r="AK5" s="90">
        <f t="shared" ca="1" si="1"/>
        <v>0</v>
      </c>
      <c r="AL5" s="151"/>
      <c r="AM5" s="151"/>
      <c r="AN5" s="26"/>
    </row>
    <row r="6" spans="1:40" x14ac:dyDescent="0.3">
      <c r="A6" s="70" t="s">
        <v>111</v>
      </c>
      <c r="B6" s="71">
        <v>720</v>
      </c>
      <c r="C6" s="71">
        <v>720</v>
      </c>
      <c r="D6" s="71">
        <v>720</v>
      </c>
      <c r="E6" s="71">
        <v>720</v>
      </c>
      <c r="F6" s="71">
        <v>940</v>
      </c>
      <c r="G6" s="71"/>
      <c r="H6" s="71">
        <v>940</v>
      </c>
      <c r="I6" s="71"/>
      <c r="J6" s="71">
        <v>880</v>
      </c>
      <c r="K6" s="71"/>
      <c r="L6" s="71">
        <v>930</v>
      </c>
      <c r="M6" s="71"/>
      <c r="N6" s="71">
        <v>750</v>
      </c>
      <c r="O6" s="71">
        <v>480</v>
      </c>
      <c r="P6" s="71">
        <v>450</v>
      </c>
      <c r="Q6" s="71">
        <v>516</v>
      </c>
      <c r="R6" s="71">
        <v>1290</v>
      </c>
      <c r="S6" s="71">
        <v>1265</v>
      </c>
      <c r="T6" s="71">
        <v>1110</v>
      </c>
      <c r="U6" s="71">
        <v>1020</v>
      </c>
      <c r="V6" s="71">
        <v>1050</v>
      </c>
      <c r="W6" s="71">
        <v>1160</v>
      </c>
      <c r="X6" s="71">
        <v>360</v>
      </c>
      <c r="Y6" s="71">
        <v>1050</v>
      </c>
      <c r="Z6" s="71">
        <v>1050</v>
      </c>
      <c r="AA6" s="71">
        <v>990</v>
      </c>
      <c r="AB6" s="71">
        <v>1010</v>
      </c>
      <c r="AC6" s="71">
        <v>1050</v>
      </c>
      <c r="AD6" s="75"/>
      <c r="AE6" s="72">
        <f ca="1">(OFFSET(AE6,0,-2)/43)</f>
        <v>24.418604651162791</v>
      </c>
      <c r="AF6" s="218">
        <f ca="1">SUM(AE6:AE7)</f>
        <v>98.418604651162795</v>
      </c>
      <c r="AG6" s="232">
        <v>0</v>
      </c>
      <c r="AH6" s="218" t="e">
        <f ca="1">AF6/AG6</f>
        <v>#DIV/0!</v>
      </c>
      <c r="AI6" s="230" t="s">
        <v>112</v>
      </c>
      <c r="AJ6" s="73">
        <f t="shared" ca="1" si="0"/>
        <v>1016.6666666666666</v>
      </c>
      <c r="AK6" s="73">
        <f t="shared" ca="1" si="1"/>
        <v>33.333333333333371</v>
      </c>
      <c r="AL6" s="75"/>
      <c r="AM6" s="75"/>
      <c r="AN6" s="26"/>
    </row>
    <row r="7" spans="1:40" x14ac:dyDescent="0.3">
      <c r="A7" s="70" t="s">
        <v>113</v>
      </c>
      <c r="B7" s="71">
        <v>52</v>
      </c>
      <c r="C7" s="71">
        <v>52</v>
      </c>
      <c r="D7" s="71">
        <v>52</v>
      </c>
      <c r="E7" s="71">
        <v>52</v>
      </c>
      <c r="F7" s="71">
        <v>75</v>
      </c>
      <c r="G7" s="71"/>
      <c r="H7" s="71">
        <v>72</v>
      </c>
      <c r="I7" s="71"/>
      <c r="J7" s="71">
        <v>62</v>
      </c>
      <c r="K7" s="71"/>
      <c r="L7" s="71">
        <v>71</v>
      </c>
      <c r="M7" s="71"/>
      <c r="N7" s="71">
        <v>66</v>
      </c>
      <c r="O7" s="71">
        <v>144</v>
      </c>
      <c r="P7" s="71">
        <v>105</v>
      </c>
      <c r="Q7" s="71">
        <v>113</v>
      </c>
      <c r="R7" s="71">
        <v>116</v>
      </c>
      <c r="S7" s="71">
        <v>41</v>
      </c>
      <c r="T7" s="71">
        <v>144</v>
      </c>
      <c r="U7" s="71">
        <v>140</v>
      </c>
      <c r="V7" s="71">
        <v>97</v>
      </c>
      <c r="W7" s="71">
        <v>120</v>
      </c>
      <c r="X7" s="71">
        <v>47</v>
      </c>
      <c r="Y7" s="71">
        <v>40</v>
      </c>
      <c r="Z7" s="71">
        <v>117</v>
      </c>
      <c r="AA7" s="71">
        <v>49</v>
      </c>
      <c r="AB7" s="71">
        <v>41</v>
      </c>
      <c r="AC7" s="71">
        <v>111</v>
      </c>
      <c r="AD7" s="75"/>
      <c r="AE7" s="72">
        <f ca="1">OFFSET(AE7,0,-2)/1.5</f>
        <v>74</v>
      </c>
      <c r="AF7" s="219"/>
      <c r="AG7" s="233"/>
      <c r="AH7" s="219"/>
      <c r="AI7" s="231"/>
      <c r="AJ7" s="73">
        <f t="shared" ca="1" si="0"/>
        <v>69</v>
      </c>
      <c r="AK7" s="73">
        <f t="shared" ca="1" si="1"/>
        <v>42</v>
      </c>
      <c r="AL7" s="75"/>
      <c r="AM7" s="75"/>
      <c r="AN7" s="26"/>
    </row>
    <row r="8" spans="1:40" x14ac:dyDescent="0.3">
      <c r="A8" s="76" t="s">
        <v>114</v>
      </c>
      <c r="B8" s="77">
        <v>770</v>
      </c>
      <c r="C8" s="77">
        <v>770</v>
      </c>
      <c r="D8" s="77">
        <v>770</v>
      </c>
      <c r="E8" s="77">
        <v>770</v>
      </c>
      <c r="F8" s="77">
        <v>750</v>
      </c>
      <c r="G8" s="77"/>
      <c r="H8" s="77">
        <v>625</v>
      </c>
      <c r="I8" s="77"/>
      <c r="J8" s="77">
        <v>575</v>
      </c>
      <c r="K8" s="77"/>
      <c r="L8" s="77">
        <v>495</v>
      </c>
      <c r="M8" s="77">
        <v>455</v>
      </c>
      <c r="N8" s="77">
        <v>442</v>
      </c>
      <c r="O8" s="77">
        <v>352</v>
      </c>
      <c r="P8" s="77">
        <v>292</v>
      </c>
      <c r="Q8" s="77">
        <v>292</v>
      </c>
      <c r="R8" s="77">
        <v>292</v>
      </c>
      <c r="S8" s="77">
        <v>390</v>
      </c>
      <c r="T8" s="77">
        <v>170</v>
      </c>
      <c r="U8" s="77">
        <v>312</v>
      </c>
      <c r="V8" s="77">
        <v>302</v>
      </c>
      <c r="W8" s="77">
        <v>400</v>
      </c>
      <c r="X8" s="77">
        <v>310</v>
      </c>
      <c r="Y8" s="77">
        <v>420</v>
      </c>
      <c r="Z8" s="77">
        <v>302</v>
      </c>
      <c r="AA8" s="77">
        <v>350</v>
      </c>
      <c r="AB8" s="77">
        <v>312</v>
      </c>
      <c r="AC8" s="77">
        <v>360</v>
      </c>
      <c r="AD8" s="151"/>
      <c r="AE8" s="78">
        <f ca="1">OFFSET(AE8,0,-2)/9</f>
        <v>40</v>
      </c>
      <c r="AF8" s="223">
        <f ca="1">SUM(AE8:AE9)</f>
        <v>52.790697674418603</v>
      </c>
      <c r="AG8" s="228">
        <v>5</v>
      </c>
      <c r="AH8" s="223">
        <f ca="1">AF8/AG8</f>
        <v>10.55813953488372</v>
      </c>
      <c r="AI8" s="225" t="s">
        <v>115</v>
      </c>
      <c r="AJ8" s="90">
        <f t="shared" ca="1" si="0"/>
        <v>321.33333333333331</v>
      </c>
      <c r="AK8" s="90">
        <f t="shared" ca="1" si="1"/>
        <v>38.666666666666686</v>
      </c>
      <c r="AL8" s="151"/>
      <c r="AM8" s="151"/>
      <c r="AN8" s="26"/>
    </row>
    <row r="9" spans="1:40" x14ac:dyDescent="0.3">
      <c r="A9" s="76" t="s">
        <v>116</v>
      </c>
      <c r="B9" s="77">
        <v>659</v>
      </c>
      <c r="C9" s="77">
        <v>659</v>
      </c>
      <c r="D9" s="77">
        <v>659</v>
      </c>
      <c r="E9" s="77">
        <v>659</v>
      </c>
      <c r="F9" s="77">
        <v>651</v>
      </c>
      <c r="G9" s="77"/>
      <c r="H9" s="77">
        <v>651</v>
      </c>
      <c r="I9" s="77"/>
      <c r="J9" s="77">
        <v>676</v>
      </c>
      <c r="K9" s="77"/>
      <c r="L9" s="77">
        <v>626</v>
      </c>
      <c r="M9" s="77">
        <v>627</v>
      </c>
      <c r="N9" s="77">
        <v>652</v>
      </c>
      <c r="O9" s="77">
        <v>675</v>
      </c>
      <c r="P9" s="77">
        <v>700</v>
      </c>
      <c r="Q9" s="77">
        <v>675</v>
      </c>
      <c r="R9" s="77">
        <v>575</v>
      </c>
      <c r="S9" s="77">
        <v>565</v>
      </c>
      <c r="T9" s="77">
        <v>675</v>
      </c>
      <c r="U9" s="77">
        <v>625</v>
      </c>
      <c r="V9" s="77">
        <v>625</v>
      </c>
      <c r="W9" s="77">
        <v>625</v>
      </c>
      <c r="X9" s="77">
        <v>625</v>
      </c>
      <c r="Y9" s="77">
        <v>585</v>
      </c>
      <c r="Z9" s="77">
        <v>600</v>
      </c>
      <c r="AA9" s="77">
        <v>600</v>
      </c>
      <c r="AB9" s="77">
        <v>681</v>
      </c>
      <c r="AC9" s="77">
        <v>550</v>
      </c>
      <c r="AD9" s="151"/>
      <c r="AE9" s="78">
        <f ca="1">OFFSET(AE9,0,-2)/43</f>
        <v>12.790697674418604</v>
      </c>
      <c r="AF9" s="224"/>
      <c r="AG9" s="229"/>
      <c r="AH9" s="224"/>
      <c r="AI9" s="226"/>
      <c r="AJ9" s="90">
        <f t="shared" ca="1" si="0"/>
        <v>627</v>
      </c>
      <c r="AK9" s="90">
        <f t="shared" ca="1" si="1"/>
        <v>-77</v>
      </c>
      <c r="AL9" s="151"/>
      <c r="AM9" s="151"/>
      <c r="AN9" s="26"/>
    </row>
    <row r="10" spans="1:40" ht="21" x14ac:dyDescent="0.4">
      <c r="A10" s="64" t="s">
        <v>117</v>
      </c>
      <c r="B10" s="64"/>
      <c r="C10" s="64"/>
      <c r="D10" s="64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>
        <v>0</v>
      </c>
      <c r="Y10" s="87"/>
      <c r="Z10" s="87"/>
      <c r="AA10" s="87"/>
      <c r="AB10" s="87"/>
      <c r="AC10" s="87"/>
      <c r="AD10" s="87"/>
      <c r="AE10" s="69"/>
      <c r="AF10" s="79"/>
      <c r="AG10" s="87"/>
      <c r="AH10" s="79"/>
      <c r="AI10" s="89"/>
      <c r="AJ10" s="80"/>
      <c r="AK10" s="69"/>
      <c r="AL10" s="87"/>
      <c r="AM10" s="87"/>
      <c r="AN10" s="26"/>
    </row>
    <row r="11" spans="1:40" x14ac:dyDescent="0.3">
      <c r="A11" s="70" t="s">
        <v>118</v>
      </c>
      <c r="B11" s="70">
        <v>81</v>
      </c>
      <c r="C11" s="70">
        <v>81</v>
      </c>
      <c r="D11" s="70">
        <v>81</v>
      </c>
      <c r="E11" s="75">
        <v>81</v>
      </c>
      <c r="F11" s="75">
        <v>75</v>
      </c>
      <c r="G11" s="75"/>
      <c r="H11" s="75">
        <v>82</v>
      </c>
      <c r="I11" s="75"/>
      <c r="J11" s="75">
        <v>73</v>
      </c>
      <c r="K11" s="75"/>
      <c r="L11" s="75">
        <v>72</v>
      </c>
      <c r="M11" s="75"/>
      <c r="N11" s="75">
        <v>60</v>
      </c>
      <c r="O11" s="75">
        <v>51</v>
      </c>
      <c r="P11" s="75">
        <v>41</v>
      </c>
      <c r="Q11" s="75">
        <v>33</v>
      </c>
      <c r="R11" s="75">
        <v>86</v>
      </c>
      <c r="S11" s="75">
        <v>90</v>
      </c>
      <c r="T11" s="75">
        <v>87</v>
      </c>
      <c r="U11" s="75">
        <v>167</v>
      </c>
      <c r="V11" s="75">
        <v>165</v>
      </c>
      <c r="W11" s="75">
        <v>183</v>
      </c>
      <c r="X11" s="75">
        <v>136</v>
      </c>
      <c r="Y11" s="75">
        <v>110</v>
      </c>
      <c r="Z11" s="75">
        <v>112</v>
      </c>
      <c r="AA11" s="75">
        <v>127</v>
      </c>
      <c r="AB11" s="75">
        <v>97</v>
      </c>
      <c r="AC11" s="75">
        <v>108</v>
      </c>
      <c r="AD11" s="70"/>
      <c r="AE11" s="72">
        <f ca="1">OFFSET(AE11,0,-2)*4</f>
        <v>432</v>
      </c>
      <c r="AF11" s="218">
        <f ca="1">SUM(AE11:AE12)</f>
        <v>592</v>
      </c>
      <c r="AG11" s="220">
        <v>2</v>
      </c>
      <c r="AH11" s="218">
        <f ca="1">AF11/AG11</f>
        <v>296</v>
      </c>
      <c r="AI11" s="222" t="s">
        <v>119</v>
      </c>
      <c r="AJ11" s="73">
        <f t="shared" ca="1" si="0"/>
        <v>112</v>
      </c>
      <c r="AK11" s="72">
        <f t="shared" ref="AK11:AK14" ca="1" si="2">(OFFSET(AK11,0,-8))-(OFFSET(AK11,0,-1))</f>
        <v>-4</v>
      </c>
      <c r="AL11" s="70"/>
      <c r="AM11" s="70"/>
      <c r="AN11" s="26"/>
    </row>
    <row r="12" spans="1:40" x14ac:dyDescent="0.3">
      <c r="A12" s="70" t="s">
        <v>120</v>
      </c>
      <c r="B12" s="70">
        <v>39</v>
      </c>
      <c r="C12" s="70">
        <v>39</v>
      </c>
      <c r="D12" s="70">
        <v>39</v>
      </c>
      <c r="E12" s="75">
        <v>39</v>
      </c>
      <c r="F12" s="75">
        <v>39</v>
      </c>
      <c r="G12" s="75"/>
      <c r="H12" s="75">
        <v>39</v>
      </c>
      <c r="I12" s="75"/>
      <c r="J12" s="75">
        <v>39</v>
      </c>
      <c r="K12" s="75"/>
      <c r="L12" s="75">
        <v>39</v>
      </c>
      <c r="M12" s="75"/>
      <c r="N12" s="75">
        <v>39</v>
      </c>
      <c r="O12" s="75">
        <v>39</v>
      </c>
      <c r="P12" s="75">
        <v>19</v>
      </c>
      <c r="Q12" s="75">
        <v>81</v>
      </c>
      <c r="R12" s="75">
        <v>19</v>
      </c>
      <c r="S12" s="75">
        <v>18</v>
      </c>
      <c r="T12" s="75">
        <v>18</v>
      </c>
      <c r="U12" s="75">
        <v>88</v>
      </c>
      <c r="V12" s="75">
        <v>88</v>
      </c>
      <c r="W12" s="75">
        <v>88</v>
      </c>
      <c r="X12" s="75">
        <v>78</v>
      </c>
      <c r="Y12" s="75">
        <v>80</v>
      </c>
      <c r="Z12" s="75">
        <v>80</v>
      </c>
      <c r="AA12" s="75">
        <v>80</v>
      </c>
      <c r="AB12" s="75">
        <v>80</v>
      </c>
      <c r="AC12" s="75">
        <v>80</v>
      </c>
      <c r="AD12" s="70"/>
      <c r="AE12" s="72">
        <f ca="1">OFFSET(AE12,0,-2)*2</f>
        <v>160</v>
      </c>
      <c r="AF12" s="219"/>
      <c r="AG12" s="221"/>
      <c r="AH12" s="219"/>
      <c r="AI12" s="222"/>
      <c r="AJ12" s="73">
        <f t="shared" ca="1" si="0"/>
        <v>80</v>
      </c>
      <c r="AK12" s="72">
        <f t="shared" ca="1" si="2"/>
        <v>0</v>
      </c>
      <c r="AL12" s="70"/>
      <c r="AM12" s="70"/>
      <c r="AN12" s="26"/>
    </row>
    <row r="13" spans="1:40" x14ac:dyDescent="0.3">
      <c r="A13" s="76" t="s">
        <v>121</v>
      </c>
      <c r="B13" s="76">
        <v>30</v>
      </c>
      <c r="C13" s="76">
        <v>30</v>
      </c>
      <c r="D13" s="76">
        <v>30</v>
      </c>
      <c r="E13" s="151">
        <v>30</v>
      </c>
      <c r="F13" s="151">
        <v>40</v>
      </c>
      <c r="G13" s="151"/>
      <c r="H13" s="151">
        <v>40</v>
      </c>
      <c r="I13" s="151"/>
      <c r="J13" s="151">
        <v>34</v>
      </c>
      <c r="K13" s="151"/>
      <c r="L13" s="151">
        <v>34</v>
      </c>
      <c r="M13" s="151"/>
      <c r="N13" s="151">
        <v>34</v>
      </c>
      <c r="O13" s="151">
        <v>34</v>
      </c>
      <c r="P13" s="151">
        <v>28</v>
      </c>
      <c r="Q13" s="151">
        <v>30</v>
      </c>
      <c r="R13" s="151">
        <v>30</v>
      </c>
      <c r="S13" s="151">
        <v>30</v>
      </c>
      <c r="T13" s="151">
        <v>10</v>
      </c>
      <c r="U13" s="151">
        <v>27</v>
      </c>
      <c r="V13" s="151">
        <v>40</v>
      </c>
      <c r="W13" s="151">
        <v>30</v>
      </c>
      <c r="X13" s="151">
        <v>25</v>
      </c>
      <c r="Y13" s="151">
        <v>30</v>
      </c>
      <c r="Z13" s="151">
        <v>17</v>
      </c>
      <c r="AA13" s="151">
        <v>17</v>
      </c>
      <c r="AB13" s="151">
        <v>40</v>
      </c>
      <c r="AC13" s="151">
        <v>30</v>
      </c>
      <c r="AD13" s="76"/>
      <c r="AE13" s="78">
        <f ca="1">OFFSET(AE13,0,-2)/3</f>
        <v>10</v>
      </c>
      <c r="AF13" s="223">
        <f ca="1">SUM(AE13:AE14)</f>
        <v>41.666666666666671</v>
      </c>
      <c r="AG13" s="225">
        <v>0</v>
      </c>
      <c r="AH13" s="223" t="e">
        <f ca="1">AF13/AG13</f>
        <v>#DIV/0!</v>
      </c>
      <c r="AI13" s="227" t="s">
        <v>122</v>
      </c>
      <c r="AJ13" s="90">
        <f t="shared" ca="1" si="0"/>
        <v>24.666666666666668</v>
      </c>
      <c r="AK13" s="78">
        <f t="shared" ca="1" si="2"/>
        <v>5.3333333333333321</v>
      </c>
      <c r="AL13" s="76"/>
      <c r="AM13" s="76"/>
      <c r="AN13" s="26"/>
    </row>
    <row r="14" spans="1:40" x14ac:dyDescent="0.3">
      <c r="A14" s="76" t="s">
        <v>123</v>
      </c>
      <c r="B14" s="76">
        <v>27</v>
      </c>
      <c r="C14" s="76">
        <v>27</v>
      </c>
      <c r="D14" s="76">
        <v>27</v>
      </c>
      <c r="E14" s="151">
        <v>27</v>
      </c>
      <c r="F14" s="151">
        <v>47</v>
      </c>
      <c r="G14" s="151"/>
      <c r="H14" s="151">
        <v>47</v>
      </c>
      <c r="I14" s="151"/>
      <c r="J14" s="151">
        <v>50</v>
      </c>
      <c r="K14" s="151"/>
      <c r="L14" s="151">
        <v>50</v>
      </c>
      <c r="M14" s="151"/>
      <c r="N14" s="151">
        <v>50</v>
      </c>
      <c r="O14" s="151">
        <v>23</v>
      </c>
      <c r="P14" s="151">
        <v>23</v>
      </c>
      <c r="Q14" s="151">
        <v>73</v>
      </c>
      <c r="R14" s="151">
        <v>23</v>
      </c>
      <c r="S14" s="151">
        <v>81</v>
      </c>
      <c r="T14" s="151">
        <v>61</v>
      </c>
      <c r="U14" s="151">
        <v>61</v>
      </c>
      <c r="V14" s="151">
        <v>61</v>
      </c>
      <c r="W14" s="151">
        <v>81</v>
      </c>
      <c r="X14" s="151">
        <v>84</v>
      </c>
      <c r="Y14" s="151">
        <v>81</v>
      </c>
      <c r="Z14" s="151">
        <v>23</v>
      </c>
      <c r="AA14" s="151">
        <v>84</v>
      </c>
      <c r="AB14" s="151">
        <v>64</v>
      </c>
      <c r="AC14" s="151">
        <v>95</v>
      </c>
      <c r="AD14" s="76"/>
      <c r="AE14" s="78">
        <f ca="1">OFFSET(AE14,0,-2)/3</f>
        <v>31.666666666666668</v>
      </c>
      <c r="AF14" s="224"/>
      <c r="AG14" s="226"/>
      <c r="AH14" s="224"/>
      <c r="AI14" s="227"/>
      <c r="AJ14" s="90">
        <f t="shared" ca="1" si="0"/>
        <v>57</v>
      </c>
      <c r="AK14" s="78">
        <f t="shared" ca="1" si="2"/>
        <v>38</v>
      </c>
      <c r="AL14" s="76"/>
      <c r="AM14" s="76"/>
      <c r="AN14" s="26"/>
    </row>
    <row r="15" spans="1:40" x14ac:dyDescent="0.3">
      <c r="A15" s="70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>
        <v>5420</v>
      </c>
      <c r="AA15" s="87"/>
      <c r="AB15" s="87"/>
      <c r="AC15" s="87"/>
      <c r="AD15" s="87"/>
      <c r="AE15" s="86"/>
      <c r="AF15" s="88"/>
      <c r="AG15" s="87"/>
      <c r="AH15" s="88"/>
      <c r="AI15" s="89"/>
      <c r="AJ15" s="86"/>
      <c r="AK15" s="86"/>
      <c r="AL15" s="87"/>
      <c r="AM15" s="87"/>
      <c r="AN15" s="26"/>
    </row>
    <row r="16" spans="1:40" x14ac:dyDescent="0.3">
      <c r="A16" s="70" t="s">
        <v>124</v>
      </c>
      <c r="B16" s="82">
        <v>350</v>
      </c>
      <c r="C16" s="82">
        <v>350</v>
      </c>
      <c r="D16" s="82">
        <v>350</v>
      </c>
      <c r="E16" s="150">
        <v>350</v>
      </c>
      <c r="F16" s="150">
        <v>348</v>
      </c>
      <c r="G16" s="150"/>
      <c r="H16" s="150">
        <v>500</v>
      </c>
      <c r="I16" s="150"/>
      <c r="J16" s="150">
        <v>806</v>
      </c>
      <c r="K16" s="150"/>
      <c r="L16" s="150">
        <v>756</v>
      </c>
      <c r="M16" s="150"/>
      <c r="N16" s="150">
        <v>758</v>
      </c>
      <c r="O16" s="150">
        <v>693</v>
      </c>
      <c r="P16" s="150">
        <v>717</v>
      </c>
      <c r="Q16" s="150">
        <v>756</v>
      </c>
      <c r="R16" s="150">
        <v>966</v>
      </c>
      <c r="S16" s="150">
        <v>552</v>
      </c>
      <c r="T16" s="150">
        <v>534</v>
      </c>
      <c r="U16" s="150">
        <v>479</v>
      </c>
      <c r="V16" s="150">
        <v>474</v>
      </c>
      <c r="W16" s="150">
        <v>509</v>
      </c>
      <c r="X16" s="150">
        <v>530</v>
      </c>
      <c r="Y16" s="150">
        <v>375</v>
      </c>
      <c r="Z16" s="150">
        <v>542</v>
      </c>
      <c r="AA16" s="150">
        <v>339</v>
      </c>
      <c r="AB16" s="150">
        <v>598</v>
      </c>
      <c r="AC16" s="150">
        <v>490</v>
      </c>
      <c r="AD16" s="82"/>
      <c r="AE16" s="82"/>
      <c r="AF16" s="82"/>
      <c r="AG16" s="82"/>
      <c r="AH16" s="82"/>
      <c r="AI16" s="150" t="s">
        <v>125</v>
      </c>
      <c r="AJ16" s="82"/>
      <c r="AK16" s="82"/>
      <c r="AL16" s="82"/>
      <c r="AM16" s="82"/>
      <c r="AN16" s="26"/>
    </row>
    <row r="17" spans="1:40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96"/>
      <c r="AG21" s="26"/>
      <c r="AH21" s="26"/>
      <c r="AI21" s="26"/>
      <c r="AJ21" s="26"/>
      <c r="AK21" s="26"/>
      <c r="AL21" s="26"/>
      <c r="AM21" s="26"/>
      <c r="AN21" s="26"/>
    </row>
    <row r="22" spans="1:40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97"/>
      <c r="AG22" s="26"/>
      <c r="AH22" s="26"/>
      <c r="AI22" s="26"/>
      <c r="AJ22" s="26"/>
      <c r="AK22" s="26"/>
      <c r="AL22" s="26"/>
      <c r="AM22" s="26"/>
      <c r="AN22" s="26"/>
    </row>
    <row r="23" spans="1:40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98"/>
      <c r="AG23" s="26"/>
      <c r="AH23" s="26"/>
      <c r="AI23" s="26"/>
      <c r="AJ23" s="26"/>
      <c r="AK23" s="26"/>
      <c r="AL23" s="26"/>
      <c r="AM23" s="26"/>
      <c r="AN23" s="26"/>
    </row>
    <row r="24" spans="1:40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98"/>
      <c r="AG24" s="26"/>
      <c r="AH24" s="26"/>
      <c r="AI24" s="26"/>
      <c r="AJ24" s="26"/>
      <c r="AK24" s="26"/>
      <c r="AL24" s="26"/>
      <c r="AM24" s="26"/>
      <c r="AN24" s="26"/>
    </row>
    <row r="25" spans="1:40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98"/>
      <c r="AG25" s="26"/>
      <c r="AH25" s="26"/>
      <c r="AI25" s="26"/>
      <c r="AJ25" s="26"/>
      <c r="AK25" s="26"/>
      <c r="AL25" s="26"/>
      <c r="AM25" s="26"/>
      <c r="AN25" s="26"/>
    </row>
    <row r="26" spans="1:40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98"/>
      <c r="AG26" s="26"/>
      <c r="AH26" s="26"/>
      <c r="AI26" s="26"/>
      <c r="AJ26" s="26"/>
      <c r="AK26" s="26"/>
      <c r="AL26" s="26"/>
      <c r="AM26" s="26"/>
      <c r="AN26" s="26"/>
    </row>
    <row r="27" spans="1:40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98"/>
      <c r="AG27" s="26"/>
      <c r="AH27" s="26"/>
      <c r="AI27" s="26"/>
      <c r="AJ27" s="26"/>
      <c r="AK27" s="26"/>
      <c r="AL27" s="26"/>
      <c r="AM27" s="26"/>
      <c r="AN27" s="26"/>
    </row>
    <row r="28" spans="1:40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98"/>
      <c r="AG28" s="26"/>
      <c r="AH28" s="26"/>
      <c r="AI28" s="26"/>
      <c r="AJ28" s="26"/>
      <c r="AK28" s="26"/>
      <c r="AL28" s="26"/>
      <c r="AM28" s="26"/>
      <c r="AN28" s="26"/>
    </row>
    <row r="29" spans="1:40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98"/>
      <c r="AG29" s="26"/>
      <c r="AH29" s="26"/>
      <c r="AI29" s="26"/>
      <c r="AJ29" s="26"/>
      <c r="AK29" s="26"/>
      <c r="AL29" s="26"/>
      <c r="AM29" s="26"/>
      <c r="AN29" s="26"/>
    </row>
    <row r="30" spans="1:40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96"/>
      <c r="AG30" s="26"/>
      <c r="AH30" s="26"/>
      <c r="AI30" s="26"/>
      <c r="AJ30" s="26"/>
      <c r="AK30" s="26"/>
      <c r="AL30" s="26"/>
      <c r="AM30" s="26"/>
      <c r="AN30" s="26"/>
    </row>
    <row r="31" spans="1:40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96"/>
      <c r="AG31" s="26"/>
      <c r="AH31" s="26"/>
      <c r="AI31" s="26"/>
      <c r="AJ31" s="26"/>
      <c r="AK31" s="26"/>
      <c r="AL31" s="26"/>
      <c r="AM31" s="26"/>
      <c r="AN31" s="26"/>
    </row>
    <row r="32" spans="1:40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96"/>
      <c r="AG32" s="26"/>
      <c r="AH32" s="26"/>
      <c r="AI32" s="26"/>
      <c r="AJ32" s="26"/>
      <c r="AK32" s="26"/>
      <c r="AL32" s="26"/>
      <c r="AM32" s="26"/>
      <c r="AN32" s="26"/>
    </row>
    <row r="33" spans="1:40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96"/>
      <c r="AG33" s="26"/>
      <c r="AH33" s="26"/>
      <c r="AI33" s="26"/>
      <c r="AJ33" s="26"/>
      <c r="AK33" s="26"/>
      <c r="AL33" s="26"/>
      <c r="AM33" s="26"/>
      <c r="AN33" s="26"/>
    </row>
    <row r="34" spans="1:40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96"/>
      <c r="AG34" s="26"/>
      <c r="AH34" s="26"/>
      <c r="AI34" s="26"/>
      <c r="AJ34" s="26"/>
      <c r="AK34" s="26"/>
      <c r="AL34" s="26"/>
      <c r="AM34" s="26"/>
      <c r="AN34" s="26"/>
    </row>
    <row r="35" spans="1:40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96"/>
      <c r="AG35" s="26"/>
      <c r="AH35" s="26"/>
      <c r="AI35" s="26"/>
      <c r="AJ35" s="26"/>
      <c r="AK35" s="26"/>
      <c r="AL35" s="26"/>
      <c r="AM35" s="26"/>
      <c r="AN35" s="26"/>
    </row>
    <row r="36" spans="1:40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96"/>
      <c r="AG36" s="26"/>
      <c r="AH36" s="26"/>
      <c r="AI36" s="26"/>
      <c r="AJ36" s="26"/>
      <c r="AK36" s="26"/>
      <c r="AL36" s="26"/>
      <c r="AM36" s="26"/>
      <c r="AN36" s="26"/>
    </row>
    <row r="37" spans="1:40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AF8:AF9"/>
    <mergeCell ref="AG8:AG9"/>
    <mergeCell ref="AH8:AH9"/>
    <mergeCell ref="AI4:AI5"/>
    <mergeCell ref="AI6:AI7"/>
    <mergeCell ref="AI8:AI9"/>
    <mergeCell ref="AF4:AF5"/>
    <mergeCell ref="AG4:AG5"/>
    <mergeCell ref="AH4:AH5"/>
    <mergeCell ref="AF6:AF7"/>
    <mergeCell ref="AG6:AG7"/>
    <mergeCell ref="AH6:AH7"/>
    <mergeCell ref="AF11:AF12"/>
    <mergeCell ref="AG11:AG12"/>
    <mergeCell ref="AH11:AH12"/>
    <mergeCell ref="AI11:AI12"/>
    <mergeCell ref="AF13:AF14"/>
    <mergeCell ref="AG13:AG14"/>
    <mergeCell ref="AH13:AH14"/>
    <mergeCell ref="AI13:AI14"/>
  </mergeCells>
  <conditionalFormatting sqref="AK2:AK15">
    <cfRule type="cellIs" dxfId="0" priority="1" operator="lessThan">
      <formula>0</formula>
    </cfRule>
  </conditionalFormatting>
  <pageMargins left="0.7" right="0.7" top="0.75" bottom="0.75" header="0.3" footer="0.3"/>
  <pageSetup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94"/>
  <sheetViews>
    <sheetView workbookViewId="0">
      <selection activeCell="W6" sqref="W6"/>
    </sheetView>
  </sheetViews>
  <sheetFormatPr defaultColWidth="9.109375" defaultRowHeight="14.4" x14ac:dyDescent="0.3"/>
  <cols>
    <col min="1" max="1" width="22.88671875" style="1" customWidth="1"/>
    <col min="2" max="16384" width="9.109375" style="1"/>
  </cols>
  <sheetData>
    <row r="1" spans="1:23" s="48" customFormat="1" x14ac:dyDescent="0.3">
      <c r="A1" s="44" t="s">
        <v>0</v>
      </c>
      <c r="B1" s="45">
        <v>43907</v>
      </c>
      <c r="C1" s="45">
        <v>43908</v>
      </c>
      <c r="D1" s="45">
        <v>43909</v>
      </c>
      <c r="E1" s="45">
        <v>43910</v>
      </c>
      <c r="F1" s="45">
        <v>43913</v>
      </c>
      <c r="G1" s="45">
        <v>43914</v>
      </c>
      <c r="H1" s="46">
        <v>43915</v>
      </c>
      <c r="I1" s="47">
        <v>43916</v>
      </c>
      <c r="J1" s="47">
        <v>43917</v>
      </c>
      <c r="K1" s="45">
        <v>43918</v>
      </c>
      <c r="L1" s="46">
        <v>43919</v>
      </c>
      <c r="M1" s="47">
        <v>43920</v>
      </c>
      <c r="N1" s="47">
        <v>43921</v>
      </c>
      <c r="O1" s="45">
        <v>43922</v>
      </c>
      <c r="P1" s="46">
        <v>43923</v>
      </c>
      <c r="Q1" s="47">
        <v>43924</v>
      </c>
      <c r="R1" s="47">
        <v>43925</v>
      </c>
      <c r="S1" s="45">
        <v>43926</v>
      </c>
      <c r="T1" s="46">
        <v>43927</v>
      </c>
      <c r="U1" s="47">
        <v>43928</v>
      </c>
      <c r="V1" s="47">
        <v>43929</v>
      </c>
      <c r="W1" s="46">
        <v>43938</v>
      </c>
    </row>
    <row r="2" spans="1:23" s="48" customFormat="1" x14ac:dyDescent="0.3">
      <c r="A2" s="48" t="s">
        <v>126</v>
      </c>
      <c r="B2" s="48">
        <v>38</v>
      </c>
      <c r="D2" s="48">
        <v>84</v>
      </c>
      <c r="E2" s="48">
        <f>24+51+1</f>
        <v>76</v>
      </c>
      <c r="F2" s="44">
        <v>53</v>
      </c>
      <c r="G2" s="44">
        <v>29</v>
      </c>
      <c r="H2" s="49">
        <v>26</v>
      </c>
      <c r="I2" s="44">
        <v>17</v>
      </c>
      <c r="J2" s="44">
        <v>0</v>
      </c>
      <c r="K2" s="48">
        <v>0</v>
      </c>
      <c r="N2" s="48">
        <v>21</v>
      </c>
      <c r="O2" s="48">
        <v>13</v>
      </c>
      <c r="P2" s="48">
        <v>17</v>
      </c>
      <c r="Q2" s="48">
        <v>11</v>
      </c>
      <c r="R2" s="48">
        <v>0</v>
      </c>
      <c r="S2" s="48">
        <v>0</v>
      </c>
      <c r="T2" s="48">
        <v>26</v>
      </c>
      <c r="W2" s="48">
        <v>6</v>
      </c>
    </row>
    <row r="3" spans="1:23" s="48" customFormat="1" x14ac:dyDescent="0.3">
      <c r="A3" s="48" t="s">
        <v>127</v>
      </c>
      <c r="B3" s="48">
        <v>249</v>
      </c>
      <c r="D3" s="48">
        <v>371</v>
      </c>
      <c r="E3" s="48">
        <f>39+37+20+18+96+60+47+48</f>
        <v>365</v>
      </c>
      <c r="F3" s="44">
        <f>6+96+60+18+48+20+37+39+47</f>
        <v>371</v>
      </c>
      <c r="G3" s="44">
        <f>48+34+60+96+48+39+37+20+47</f>
        <v>429</v>
      </c>
      <c r="H3" s="49">
        <v>433</v>
      </c>
      <c r="I3" s="44">
        <v>517</v>
      </c>
      <c r="J3" s="44">
        <v>517</v>
      </c>
      <c r="K3" s="48">
        <v>516</v>
      </c>
      <c r="N3" s="48">
        <v>506</v>
      </c>
      <c r="O3" s="48">
        <v>506</v>
      </c>
      <c r="P3" s="48">
        <v>574</v>
      </c>
      <c r="Q3" s="48">
        <v>574</v>
      </c>
      <c r="R3" s="48">
        <v>568</v>
      </c>
      <c r="S3" s="48">
        <v>562</v>
      </c>
      <c r="T3" s="48">
        <v>598</v>
      </c>
      <c r="W3" s="48">
        <v>527</v>
      </c>
    </row>
    <row r="4" spans="1:23" s="48" customFormat="1" x14ac:dyDescent="0.3">
      <c r="A4" s="48" t="s">
        <v>128</v>
      </c>
      <c r="B4" s="48">
        <v>63</v>
      </c>
      <c r="D4" s="48">
        <v>84</v>
      </c>
      <c r="E4" s="48">
        <v>93</v>
      </c>
      <c r="F4" s="44">
        <f>83</f>
        <v>83</v>
      </c>
      <c r="G4" s="44">
        <v>83</v>
      </c>
      <c r="H4" s="49">
        <v>93</v>
      </c>
      <c r="I4" s="44">
        <v>143</v>
      </c>
      <c r="J4" s="44">
        <v>220</v>
      </c>
      <c r="K4" s="48">
        <v>167</v>
      </c>
      <c r="N4" s="48">
        <v>166</v>
      </c>
      <c r="O4" s="48">
        <v>166</v>
      </c>
      <c r="P4" s="48">
        <v>169</v>
      </c>
      <c r="Q4" s="48">
        <v>169</v>
      </c>
      <c r="R4" s="48">
        <v>169</v>
      </c>
      <c r="S4" s="48">
        <v>177</v>
      </c>
      <c r="T4" s="48">
        <v>181</v>
      </c>
      <c r="W4" s="48">
        <v>169</v>
      </c>
    </row>
    <row r="5" spans="1:23" s="48" customFormat="1" x14ac:dyDescent="0.3">
      <c r="A5" s="48" t="s">
        <v>129</v>
      </c>
      <c r="B5" s="48">
        <f>SUM(B2:B4)</f>
        <v>350</v>
      </c>
      <c r="C5" s="48">
        <f t="shared" ref="C5:V5" si="0">SUM(C2:C4)</f>
        <v>0</v>
      </c>
      <c r="D5" s="48">
        <f t="shared" si="0"/>
        <v>539</v>
      </c>
      <c r="E5" s="48">
        <f t="shared" si="0"/>
        <v>534</v>
      </c>
      <c r="F5" s="48">
        <f t="shared" si="0"/>
        <v>507</v>
      </c>
      <c r="G5" s="48">
        <f t="shared" si="0"/>
        <v>541</v>
      </c>
      <c r="H5" s="48">
        <f t="shared" si="0"/>
        <v>552</v>
      </c>
      <c r="I5" s="48">
        <f t="shared" si="0"/>
        <v>677</v>
      </c>
      <c r="J5" s="48">
        <f t="shared" si="0"/>
        <v>737</v>
      </c>
      <c r="K5" s="48">
        <f t="shared" si="0"/>
        <v>683</v>
      </c>
      <c r="L5" s="48">
        <f t="shared" si="0"/>
        <v>0</v>
      </c>
      <c r="M5" s="48">
        <f t="shared" si="0"/>
        <v>0</v>
      </c>
      <c r="N5" s="48">
        <f t="shared" si="0"/>
        <v>693</v>
      </c>
      <c r="O5" s="48">
        <f t="shared" si="0"/>
        <v>685</v>
      </c>
      <c r="P5" s="48">
        <f t="shared" si="0"/>
        <v>760</v>
      </c>
      <c r="Q5" s="48">
        <f t="shared" si="0"/>
        <v>754</v>
      </c>
      <c r="R5" s="48">
        <f t="shared" si="0"/>
        <v>737</v>
      </c>
      <c r="S5" s="48">
        <f t="shared" si="0"/>
        <v>739</v>
      </c>
      <c r="T5" s="48">
        <f t="shared" si="0"/>
        <v>805</v>
      </c>
      <c r="U5" s="48">
        <f t="shared" si="0"/>
        <v>0</v>
      </c>
      <c r="V5" s="48">
        <f t="shared" si="0"/>
        <v>0</v>
      </c>
      <c r="W5" s="48">
        <f>SUM(W2:W4)</f>
        <v>702</v>
      </c>
    </row>
    <row r="6" spans="1:23" s="48" customFormat="1" x14ac:dyDescent="0.3"/>
    <row r="7" spans="1:23" s="48" customFormat="1" x14ac:dyDescent="0.3">
      <c r="A7" s="48" t="s">
        <v>130</v>
      </c>
      <c r="B7" s="48">
        <f>8680-5800</f>
        <v>2880</v>
      </c>
    </row>
    <row r="8" spans="1:23" s="48" customFormat="1" x14ac:dyDescent="0.3">
      <c r="A8" s="48" t="s">
        <v>131</v>
      </c>
      <c r="B8" s="48">
        <v>8600</v>
      </c>
    </row>
    <row r="9" spans="1:23" s="48" customFormat="1" x14ac:dyDescent="0.3">
      <c r="B9" s="48">
        <f>B8+B7</f>
        <v>11480</v>
      </c>
    </row>
    <row r="10" spans="1:23" s="48" customFormat="1" x14ac:dyDescent="0.3"/>
    <row r="11" spans="1:23" s="48" customFormat="1" x14ac:dyDescent="0.3"/>
    <row r="12" spans="1:23" s="48" customFormat="1" x14ac:dyDescent="0.3"/>
    <row r="13" spans="1:23" s="48" customFormat="1" x14ac:dyDescent="0.3"/>
    <row r="14" spans="1:23" s="48" customFormat="1" x14ac:dyDescent="0.3"/>
    <row r="15" spans="1:23" s="48" customFormat="1" x14ac:dyDescent="0.3"/>
    <row r="16" spans="1:23" s="48" customFormat="1" x14ac:dyDescent="0.3"/>
    <row r="17" s="48" customFormat="1" x14ac:dyDescent="0.3"/>
    <row r="18" s="48" customFormat="1" x14ac:dyDescent="0.3"/>
    <row r="19" s="48" customFormat="1" x14ac:dyDescent="0.3"/>
    <row r="20" s="48" customFormat="1" x14ac:dyDescent="0.3"/>
    <row r="21" s="48" customFormat="1" x14ac:dyDescent="0.3"/>
    <row r="22" s="48" customFormat="1" x14ac:dyDescent="0.3"/>
    <row r="23" s="48" customFormat="1" x14ac:dyDescent="0.3"/>
    <row r="24" s="48" customFormat="1" x14ac:dyDescent="0.3"/>
    <row r="25" s="48" customFormat="1" x14ac:dyDescent="0.3"/>
    <row r="26" s="48" customFormat="1" x14ac:dyDescent="0.3"/>
    <row r="27" s="48" customFormat="1" x14ac:dyDescent="0.3"/>
    <row r="28" s="48" customFormat="1" x14ac:dyDescent="0.3"/>
    <row r="29" s="48" customFormat="1" x14ac:dyDescent="0.3"/>
    <row r="30" s="48" customFormat="1" x14ac:dyDescent="0.3"/>
    <row r="31" s="48" customFormat="1" x14ac:dyDescent="0.3"/>
    <row r="32" s="48" customFormat="1" x14ac:dyDescent="0.3"/>
    <row r="33" s="48" customFormat="1" x14ac:dyDescent="0.3"/>
    <row r="34" s="48" customFormat="1" x14ac:dyDescent="0.3"/>
    <row r="35" s="48" customFormat="1" x14ac:dyDescent="0.3"/>
    <row r="36" s="48" customFormat="1" x14ac:dyDescent="0.3"/>
    <row r="37" s="48" customFormat="1" x14ac:dyDescent="0.3"/>
    <row r="38" s="48" customFormat="1" x14ac:dyDescent="0.3"/>
    <row r="39" s="48" customFormat="1" x14ac:dyDescent="0.3"/>
    <row r="40" s="48" customFormat="1" x14ac:dyDescent="0.3"/>
    <row r="41" s="48" customFormat="1" x14ac:dyDescent="0.3"/>
    <row r="42" s="48" customFormat="1" x14ac:dyDescent="0.3"/>
    <row r="43" s="48" customFormat="1" x14ac:dyDescent="0.3"/>
    <row r="44" s="48" customFormat="1" x14ac:dyDescent="0.3"/>
    <row r="45" s="48" customFormat="1" x14ac:dyDescent="0.3"/>
    <row r="46" s="48" customFormat="1" x14ac:dyDescent="0.3"/>
    <row r="47" s="48" customFormat="1" x14ac:dyDescent="0.3"/>
    <row r="48" s="48" customFormat="1" x14ac:dyDescent="0.3"/>
    <row r="49" s="48" customFormat="1" x14ac:dyDescent="0.3"/>
    <row r="50" s="48" customFormat="1" x14ac:dyDescent="0.3"/>
    <row r="51" s="48" customFormat="1" x14ac:dyDescent="0.3"/>
    <row r="52" s="48" customFormat="1" x14ac:dyDescent="0.3"/>
    <row r="53" s="48" customFormat="1" x14ac:dyDescent="0.3"/>
    <row r="54" s="48" customFormat="1" x14ac:dyDescent="0.3"/>
    <row r="55" s="48" customFormat="1" x14ac:dyDescent="0.3"/>
    <row r="56" s="48" customFormat="1" x14ac:dyDescent="0.3"/>
    <row r="57" s="48" customFormat="1" x14ac:dyDescent="0.3"/>
    <row r="58" s="48" customFormat="1" x14ac:dyDescent="0.3"/>
    <row r="59" s="48" customFormat="1" x14ac:dyDescent="0.3"/>
    <row r="60" s="48" customFormat="1" x14ac:dyDescent="0.3"/>
    <row r="61" s="48" customFormat="1" x14ac:dyDescent="0.3"/>
    <row r="62" s="48" customFormat="1" x14ac:dyDescent="0.3"/>
    <row r="63" s="48" customFormat="1" x14ac:dyDescent="0.3"/>
    <row r="64" s="48" customFormat="1" x14ac:dyDescent="0.3"/>
    <row r="65" s="48" customFormat="1" x14ac:dyDescent="0.3"/>
    <row r="66" s="48" customFormat="1" x14ac:dyDescent="0.3"/>
    <row r="67" s="48" customFormat="1" x14ac:dyDescent="0.3"/>
    <row r="68" s="48" customFormat="1" x14ac:dyDescent="0.3"/>
    <row r="69" s="48" customFormat="1" x14ac:dyDescent="0.3"/>
    <row r="70" s="48" customFormat="1" x14ac:dyDescent="0.3"/>
    <row r="71" s="48" customFormat="1" x14ac:dyDescent="0.3"/>
    <row r="72" s="48" customFormat="1" x14ac:dyDescent="0.3"/>
    <row r="73" s="48" customFormat="1" x14ac:dyDescent="0.3"/>
    <row r="74" s="48" customFormat="1" x14ac:dyDescent="0.3"/>
    <row r="75" s="48" customFormat="1" x14ac:dyDescent="0.3"/>
    <row r="76" s="48" customFormat="1" x14ac:dyDescent="0.3"/>
    <row r="77" s="48" customFormat="1" x14ac:dyDescent="0.3"/>
    <row r="78" s="48" customFormat="1" x14ac:dyDescent="0.3"/>
    <row r="79" s="48" customFormat="1" x14ac:dyDescent="0.3"/>
    <row r="80" s="48" customFormat="1" x14ac:dyDescent="0.3"/>
    <row r="81" s="48" customFormat="1" x14ac:dyDescent="0.3"/>
    <row r="82" s="48" customFormat="1" x14ac:dyDescent="0.3"/>
    <row r="83" s="48" customFormat="1" x14ac:dyDescent="0.3"/>
    <row r="84" s="48" customFormat="1" x14ac:dyDescent="0.3"/>
    <row r="85" s="48" customFormat="1" x14ac:dyDescent="0.3"/>
    <row r="86" s="48" customFormat="1" x14ac:dyDescent="0.3"/>
    <row r="87" s="48" customFormat="1" x14ac:dyDescent="0.3"/>
    <row r="88" s="48" customFormat="1" x14ac:dyDescent="0.3"/>
    <row r="89" s="48" customFormat="1" x14ac:dyDescent="0.3"/>
    <row r="90" s="48" customFormat="1" x14ac:dyDescent="0.3"/>
    <row r="91" s="48" customFormat="1" x14ac:dyDescent="0.3"/>
    <row r="92" s="48" customFormat="1" x14ac:dyDescent="0.3"/>
    <row r="93" s="48" customFormat="1" x14ac:dyDescent="0.3"/>
    <row r="94" s="48" customFormat="1" x14ac:dyDescent="0.3"/>
    <row r="95" s="48" customFormat="1" x14ac:dyDescent="0.3"/>
    <row r="96" s="48" customFormat="1" x14ac:dyDescent="0.3"/>
    <row r="97" s="48" customFormat="1" x14ac:dyDescent="0.3"/>
    <row r="98" s="48" customFormat="1" x14ac:dyDescent="0.3"/>
    <row r="99" s="48" customFormat="1" x14ac:dyDescent="0.3"/>
    <row r="100" s="48" customFormat="1" x14ac:dyDescent="0.3"/>
    <row r="101" s="48" customFormat="1" x14ac:dyDescent="0.3"/>
    <row r="102" s="48" customFormat="1" x14ac:dyDescent="0.3"/>
    <row r="103" s="48" customFormat="1" x14ac:dyDescent="0.3"/>
    <row r="104" s="48" customFormat="1" x14ac:dyDescent="0.3"/>
    <row r="105" s="48" customFormat="1" x14ac:dyDescent="0.3"/>
    <row r="106" s="48" customFormat="1" x14ac:dyDescent="0.3"/>
    <row r="107" s="48" customFormat="1" x14ac:dyDescent="0.3"/>
    <row r="108" s="48" customFormat="1" x14ac:dyDescent="0.3"/>
    <row r="109" s="48" customFormat="1" x14ac:dyDescent="0.3"/>
    <row r="110" s="48" customFormat="1" x14ac:dyDescent="0.3"/>
    <row r="111" s="48" customFormat="1" x14ac:dyDescent="0.3"/>
    <row r="112" s="48" customFormat="1" x14ac:dyDescent="0.3"/>
    <row r="113" s="48" customFormat="1" x14ac:dyDescent="0.3"/>
    <row r="114" s="48" customFormat="1" x14ac:dyDescent="0.3"/>
    <row r="115" s="48" customFormat="1" x14ac:dyDescent="0.3"/>
    <row r="116" s="48" customFormat="1" x14ac:dyDescent="0.3"/>
    <row r="117" s="48" customFormat="1" x14ac:dyDescent="0.3"/>
    <row r="118" s="48" customFormat="1" x14ac:dyDescent="0.3"/>
    <row r="119" s="48" customFormat="1" x14ac:dyDescent="0.3"/>
    <row r="120" s="48" customFormat="1" x14ac:dyDescent="0.3"/>
    <row r="121" s="48" customFormat="1" x14ac:dyDescent="0.3"/>
    <row r="122" s="48" customFormat="1" x14ac:dyDescent="0.3"/>
    <row r="123" s="48" customFormat="1" x14ac:dyDescent="0.3"/>
    <row r="124" s="48" customFormat="1" x14ac:dyDescent="0.3"/>
    <row r="125" s="48" customFormat="1" x14ac:dyDescent="0.3"/>
    <row r="126" s="48" customFormat="1" x14ac:dyDescent="0.3"/>
    <row r="127" s="48" customFormat="1" x14ac:dyDescent="0.3"/>
    <row r="128" s="48" customFormat="1" x14ac:dyDescent="0.3"/>
    <row r="129" s="48" customFormat="1" x14ac:dyDescent="0.3"/>
    <row r="130" s="48" customFormat="1" x14ac:dyDescent="0.3"/>
    <row r="131" s="48" customFormat="1" x14ac:dyDescent="0.3"/>
    <row r="132" s="48" customFormat="1" x14ac:dyDescent="0.3"/>
    <row r="133" s="48" customFormat="1" x14ac:dyDescent="0.3"/>
    <row r="134" s="48" customFormat="1" x14ac:dyDescent="0.3"/>
    <row r="135" s="48" customFormat="1" x14ac:dyDescent="0.3"/>
    <row r="136" s="48" customFormat="1" x14ac:dyDescent="0.3"/>
    <row r="137" s="48" customFormat="1" x14ac:dyDescent="0.3"/>
    <row r="138" s="48" customFormat="1" x14ac:dyDescent="0.3"/>
    <row r="139" s="48" customFormat="1" x14ac:dyDescent="0.3"/>
    <row r="140" s="48" customFormat="1" x14ac:dyDescent="0.3"/>
    <row r="141" s="48" customFormat="1" x14ac:dyDescent="0.3"/>
    <row r="142" s="48" customFormat="1" x14ac:dyDescent="0.3"/>
    <row r="143" s="48" customFormat="1" x14ac:dyDescent="0.3"/>
    <row r="144" s="48" customFormat="1" x14ac:dyDescent="0.3"/>
    <row r="145" s="48" customFormat="1" x14ac:dyDescent="0.3"/>
    <row r="146" s="48" customFormat="1" x14ac:dyDescent="0.3"/>
    <row r="147" s="48" customFormat="1" x14ac:dyDescent="0.3"/>
    <row r="148" s="48" customFormat="1" x14ac:dyDescent="0.3"/>
    <row r="149" s="48" customFormat="1" x14ac:dyDescent="0.3"/>
    <row r="150" s="48" customFormat="1" x14ac:dyDescent="0.3"/>
    <row r="151" s="48" customFormat="1" x14ac:dyDescent="0.3"/>
    <row r="152" s="48" customFormat="1" x14ac:dyDescent="0.3"/>
    <row r="153" s="48" customFormat="1" x14ac:dyDescent="0.3"/>
    <row r="154" s="48" customFormat="1" x14ac:dyDescent="0.3"/>
    <row r="155" s="48" customFormat="1" x14ac:dyDescent="0.3"/>
    <row r="156" s="48" customFormat="1" x14ac:dyDescent="0.3"/>
    <row r="157" s="48" customFormat="1" x14ac:dyDescent="0.3"/>
    <row r="158" s="48" customFormat="1" x14ac:dyDescent="0.3"/>
    <row r="159" s="48" customFormat="1" x14ac:dyDescent="0.3"/>
    <row r="160" s="48" customFormat="1" x14ac:dyDescent="0.3"/>
    <row r="161" s="48" customFormat="1" x14ac:dyDescent="0.3"/>
    <row r="162" s="48" customFormat="1" x14ac:dyDescent="0.3"/>
    <row r="163" s="48" customFormat="1" x14ac:dyDescent="0.3"/>
    <row r="164" s="48" customFormat="1" x14ac:dyDescent="0.3"/>
    <row r="165" s="48" customFormat="1" x14ac:dyDescent="0.3"/>
    <row r="166" s="48" customFormat="1" x14ac:dyDescent="0.3"/>
    <row r="167" s="48" customFormat="1" x14ac:dyDescent="0.3"/>
    <row r="168" s="48" customFormat="1" x14ac:dyDescent="0.3"/>
    <row r="169" s="48" customFormat="1" x14ac:dyDescent="0.3"/>
    <row r="170" s="48" customFormat="1" x14ac:dyDescent="0.3"/>
    <row r="171" s="48" customFormat="1" x14ac:dyDescent="0.3"/>
    <row r="172" s="48" customFormat="1" x14ac:dyDescent="0.3"/>
    <row r="173" s="48" customFormat="1" x14ac:dyDescent="0.3"/>
    <row r="174" s="48" customFormat="1" x14ac:dyDescent="0.3"/>
    <row r="175" s="48" customFormat="1" x14ac:dyDescent="0.3"/>
    <row r="176" s="48" customFormat="1" x14ac:dyDescent="0.3"/>
    <row r="177" s="48" customFormat="1" x14ac:dyDescent="0.3"/>
    <row r="178" s="48" customFormat="1" x14ac:dyDescent="0.3"/>
    <row r="179" s="48" customFormat="1" x14ac:dyDescent="0.3"/>
    <row r="180" s="48" customFormat="1" x14ac:dyDescent="0.3"/>
    <row r="181" s="48" customFormat="1" x14ac:dyDescent="0.3"/>
    <row r="182" s="48" customFormat="1" x14ac:dyDescent="0.3"/>
    <row r="183" s="48" customFormat="1" x14ac:dyDescent="0.3"/>
    <row r="184" s="48" customFormat="1" x14ac:dyDescent="0.3"/>
    <row r="185" s="48" customFormat="1" x14ac:dyDescent="0.3"/>
    <row r="186" s="48" customFormat="1" x14ac:dyDescent="0.3"/>
    <row r="187" s="48" customFormat="1" x14ac:dyDescent="0.3"/>
    <row r="188" s="48" customFormat="1" x14ac:dyDescent="0.3"/>
    <row r="189" s="48" customFormat="1" x14ac:dyDescent="0.3"/>
    <row r="190" s="48" customFormat="1" x14ac:dyDescent="0.3"/>
    <row r="191" s="48" customFormat="1" x14ac:dyDescent="0.3"/>
    <row r="192" s="48" customFormat="1" x14ac:dyDescent="0.3"/>
    <row r="193" s="48" customFormat="1" x14ac:dyDescent="0.3"/>
    <row r="194" s="48" customFormat="1" x14ac:dyDescent="0.3"/>
  </sheetData>
  <sheetProtection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Tracking Sheet</vt:lpstr>
      <vt:lpstr>RDV Tracking</vt:lpstr>
      <vt:lpstr>Summary Sheet</vt:lpstr>
      <vt:lpstr>Vasopressors</vt:lpstr>
      <vt:lpstr>MDIs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Paul, Ryan D</dc:creator>
  <cp:keywords/>
  <dc:description/>
  <cp:lastModifiedBy>Owner</cp:lastModifiedBy>
  <cp:revision/>
  <dcterms:created xsi:type="dcterms:W3CDTF">2020-03-17T14:13:03Z</dcterms:created>
  <dcterms:modified xsi:type="dcterms:W3CDTF">2021-09-20T23:00:57Z</dcterms:modified>
  <cp:category/>
  <cp:contentStatus/>
</cp:coreProperties>
</file>